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5B61440A-D7BC-4070-867E-BA84F1FA3C68}" xr6:coauthVersionLast="45" xr6:coauthVersionMax="45" xr10:uidLastSave="{00000000-0000-0000-0000-000000000000}"/>
  <bookViews>
    <workbookView xWindow="-120" yWindow="-120" windowWidth="29040" windowHeight="15840" tabRatio="500" activeTab="22" xr2:uid="{00000000-000D-0000-FFFF-FFFF00000000}"/>
  </bookViews>
  <sheets>
    <sheet name="TWS data" sheetId="1" r:id="rId1"/>
    <sheet name="Oct 01" sheetId="2" r:id="rId2"/>
    <sheet name="Oct 02" sheetId="3" r:id="rId3"/>
    <sheet name="Oct 05" sheetId="4" r:id="rId4"/>
    <sheet name="Oct 06" sheetId="5" r:id="rId5"/>
    <sheet name="Oct 07" sheetId="6" r:id="rId6"/>
    <sheet name="Oct 08" sheetId="7" r:id="rId7"/>
    <sheet name="Oct 09" sheetId="8" r:id="rId8"/>
    <sheet name="Oct 12" sheetId="9" r:id="rId9"/>
    <sheet name="Oct 13" sheetId="10" r:id="rId10"/>
    <sheet name="Oct 14" sheetId="11" r:id="rId11"/>
    <sheet name="Oct 15" sheetId="12" r:id="rId12"/>
    <sheet name="Oct 16" sheetId="13" r:id="rId13"/>
    <sheet name="Oct 19" sheetId="14" r:id="rId14"/>
    <sheet name="Oct 20" sheetId="15" r:id="rId15"/>
    <sheet name="Oct 21" sheetId="16" r:id="rId16"/>
    <sheet name="Oct 22" sheetId="17" r:id="rId17"/>
    <sheet name="Oct 23" sheetId="18" r:id="rId18"/>
    <sheet name="Oct 26" sheetId="19" r:id="rId19"/>
    <sheet name="Oct 27" sheetId="20" r:id="rId20"/>
    <sheet name="Oct 28" sheetId="21" r:id="rId21"/>
    <sheet name="Oct 29" sheetId="22" r:id="rId22"/>
    <sheet name="Oct 30" sheetId="23" r:id="rId2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7" i="23" l="1"/>
  <c r="J67" i="23" s="1"/>
  <c r="D65" i="23"/>
  <c r="H61" i="23"/>
  <c r="J61" i="23" s="1"/>
  <c r="H60" i="23"/>
  <c r="J60" i="23" s="1"/>
  <c r="H59" i="23"/>
  <c r="J59" i="23" s="1"/>
  <c r="H58" i="23"/>
  <c r="J58" i="23" s="1"/>
  <c r="H57" i="23"/>
  <c r="J57" i="23" s="1"/>
  <c r="J56" i="23"/>
  <c r="H56" i="23"/>
  <c r="J55" i="23"/>
  <c r="H55" i="23"/>
  <c r="J54" i="23"/>
  <c r="H54" i="23"/>
  <c r="J53" i="23"/>
  <c r="H53" i="23"/>
  <c r="J52" i="23"/>
  <c r="H52" i="23"/>
  <c r="E52" i="23"/>
  <c r="E49" i="23"/>
  <c r="D49" i="23"/>
  <c r="H47" i="23"/>
  <c r="J47" i="23" s="1"/>
  <c r="H46" i="23"/>
  <c r="J46" i="23" s="1"/>
  <c r="H45" i="23"/>
  <c r="J45" i="23" s="1"/>
  <c r="J44" i="23"/>
  <c r="H44" i="23"/>
  <c r="J43" i="23"/>
  <c r="H43" i="23"/>
  <c r="D41" i="23"/>
  <c r="H39" i="23"/>
  <c r="J39" i="23" s="1"/>
  <c r="H38" i="23"/>
  <c r="J38" i="23" s="1"/>
  <c r="J37" i="23"/>
  <c r="H37" i="23"/>
  <c r="E37" i="23"/>
  <c r="H36" i="23"/>
  <c r="J36" i="23" s="1"/>
  <c r="E36" i="23"/>
  <c r="J35" i="23"/>
  <c r="H35" i="23"/>
  <c r="J34" i="23"/>
  <c r="H34" i="23"/>
  <c r="J33" i="23"/>
  <c r="H33" i="23"/>
  <c r="E33" i="23"/>
  <c r="H32" i="23"/>
  <c r="J32" i="23" s="1"/>
  <c r="E32" i="23"/>
  <c r="H31" i="23"/>
  <c r="J31" i="23" s="1"/>
  <c r="E31" i="23"/>
  <c r="J30" i="23"/>
  <c r="H30" i="23"/>
  <c r="E30" i="23"/>
  <c r="H28" i="23"/>
  <c r="D26" i="23"/>
  <c r="H24" i="23"/>
  <c r="E24" i="23"/>
  <c r="H23" i="23"/>
  <c r="E23" i="23"/>
  <c r="H22" i="23"/>
  <c r="H21" i="23"/>
  <c r="H20" i="23"/>
  <c r="E20" i="23"/>
  <c r="H19" i="23"/>
  <c r="E19" i="23"/>
  <c r="H18" i="23"/>
  <c r="E18" i="23"/>
  <c r="H17" i="23"/>
  <c r="H16" i="23"/>
  <c r="E16" i="23"/>
  <c r="H15" i="23"/>
  <c r="E15" i="23"/>
  <c r="H14" i="23"/>
  <c r="E14" i="23"/>
  <c r="H13" i="23"/>
  <c r="H12" i="23"/>
  <c r="E12" i="23"/>
  <c r="H11" i="23"/>
  <c r="E11" i="23"/>
  <c r="H10" i="23"/>
  <c r="E10" i="23"/>
  <c r="H9" i="23"/>
  <c r="C6" i="23"/>
  <c r="E35" i="23" s="1"/>
  <c r="G5" i="23"/>
  <c r="K67" i="22"/>
  <c r="J67" i="22"/>
  <c r="D65" i="22"/>
  <c r="K61" i="22"/>
  <c r="J61" i="22"/>
  <c r="K60" i="22"/>
  <c r="J60" i="22"/>
  <c r="K59" i="22"/>
  <c r="J59" i="22"/>
  <c r="K58" i="22"/>
  <c r="J58" i="22"/>
  <c r="K57" i="22"/>
  <c r="J57" i="22"/>
  <c r="K56" i="22"/>
  <c r="J56" i="22"/>
  <c r="K55" i="22"/>
  <c r="J55" i="22"/>
  <c r="K54" i="22"/>
  <c r="J54" i="22"/>
  <c r="K53" i="22"/>
  <c r="K65" i="22" s="1"/>
  <c r="J53" i="22"/>
  <c r="K52" i="22"/>
  <c r="J52" i="22"/>
  <c r="D49" i="22"/>
  <c r="K47" i="22"/>
  <c r="J47" i="22"/>
  <c r="K46" i="22"/>
  <c r="J46" i="22"/>
  <c r="K45" i="22"/>
  <c r="J45" i="22"/>
  <c r="K44" i="22"/>
  <c r="J44" i="22"/>
  <c r="K43" i="22"/>
  <c r="J43" i="22"/>
  <c r="D41" i="22"/>
  <c r="K39" i="22"/>
  <c r="J39" i="22"/>
  <c r="K38" i="22"/>
  <c r="J38" i="22"/>
  <c r="K37" i="22"/>
  <c r="J37" i="22"/>
  <c r="K36" i="22"/>
  <c r="J36" i="22"/>
  <c r="K35" i="22"/>
  <c r="J35" i="22"/>
  <c r="K34" i="22"/>
  <c r="J34" i="22"/>
  <c r="K33" i="22"/>
  <c r="J33" i="22"/>
  <c r="K32" i="22"/>
  <c r="J32" i="22"/>
  <c r="K31" i="22"/>
  <c r="J31" i="22"/>
  <c r="K30" i="22"/>
  <c r="K41" i="22" s="1"/>
  <c r="J30" i="22"/>
  <c r="D26" i="22"/>
  <c r="C6" i="22"/>
  <c r="E60" i="22" s="1"/>
  <c r="G60" i="22" s="1"/>
  <c r="K69" i="21"/>
  <c r="J69" i="21"/>
  <c r="E69" i="21"/>
  <c r="G69" i="21" s="1"/>
  <c r="D67" i="21"/>
  <c r="K63" i="21"/>
  <c r="J63" i="21"/>
  <c r="G63" i="21"/>
  <c r="E63" i="21"/>
  <c r="K62" i="21"/>
  <c r="J62" i="21"/>
  <c r="E62" i="21"/>
  <c r="G62" i="21" s="1"/>
  <c r="K61" i="21"/>
  <c r="J61" i="21"/>
  <c r="K60" i="21"/>
  <c r="J60" i="21"/>
  <c r="K59" i="21"/>
  <c r="J59" i="21"/>
  <c r="K58" i="21"/>
  <c r="J58" i="21"/>
  <c r="E58" i="21"/>
  <c r="G58" i="21" s="1"/>
  <c r="K57" i="21"/>
  <c r="J57" i="21"/>
  <c r="K56" i="21"/>
  <c r="J56" i="21"/>
  <c r="G56" i="21"/>
  <c r="E56" i="21"/>
  <c r="K55" i="21"/>
  <c r="K67" i="21" s="1"/>
  <c r="J55" i="21"/>
  <c r="E55" i="21"/>
  <c r="G55" i="21" s="1"/>
  <c r="K54" i="21"/>
  <c r="J54" i="21"/>
  <c r="D51" i="21"/>
  <c r="E51" i="21" s="1"/>
  <c r="K49" i="21"/>
  <c r="J49" i="21"/>
  <c r="K48" i="21"/>
  <c r="J48" i="21"/>
  <c r="G48" i="21"/>
  <c r="E48" i="21"/>
  <c r="K47" i="21"/>
  <c r="J47" i="21"/>
  <c r="E47" i="21"/>
  <c r="G47" i="21" s="1"/>
  <c r="K46" i="21"/>
  <c r="J46" i="21"/>
  <c r="E46" i="21"/>
  <c r="G46" i="21" s="1"/>
  <c r="K45" i="21"/>
  <c r="J45" i="21"/>
  <c r="K44" i="21"/>
  <c r="J44" i="21"/>
  <c r="K43" i="21"/>
  <c r="K51" i="21" s="1"/>
  <c r="J43" i="21"/>
  <c r="D41" i="21"/>
  <c r="G5" i="21" s="1"/>
  <c r="K39" i="21"/>
  <c r="J39" i="21"/>
  <c r="G39" i="21"/>
  <c r="E39" i="21"/>
  <c r="K38" i="21"/>
  <c r="J38" i="21"/>
  <c r="G38" i="21"/>
  <c r="E38" i="21"/>
  <c r="K37" i="21"/>
  <c r="J37" i="21"/>
  <c r="E37" i="21"/>
  <c r="G37" i="21" s="1"/>
  <c r="K36" i="21"/>
  <c r="J36" i="21"/>
  <c r="K35" i="21"/>
  <c r="J35" i="21"/>
  <c r="K34" i="21"/>
  <c r="J34" i="21"/>
  <c r="K33" i="21"/>
  <c r="J33" i="21"/>
  <c r="E33" i="21"/>
  <c r="G33" i="21" s="1"/>
  <c r="K32" i="21"/>
  <c r="J32" i="21"/>
  <c r="G32" i="21"/>
  <c r="E32" i="21"/>
  <c r="K31" i="21"/>
  <c r="J31" i="21"/>
  <c r="E31" i="21"/>
  <c r="G31" i="21" s="1"/>
  <c r="K30" i="21"/>
  <c r="J30" i="21"/>
  <c r="E30" i="21"/>
  <c r="G30" i="21" s="1"/>
  <c r="D26" i="21"/>
  <c r="G24" i="21"/>
  <c r="I24" i="21" s="1"/>
  <c r="E24" i="21"/>
  <c r="E23" i="21"/>
  <c r="G23" i="21" s="1"/>
  <c r="I23" i="21" s="1"/>
  <c r="E22" i="21"/>
  <c r="G22" i="21" s="1"/>
  <c r="I22" i="21" s="1"/>
  <c r="G17" i="21"/>
  <c r="I17" i="21" s="1"/>
  <c r="E17" i="21"/>
  <c r="G16" i="21"/>
  <c r="I16" i="21" s="1"/>
  <c r="E16" i="21"/>
  <c r="G13" i="21"/>
  <c r="I13" i="21" s="1"/>
  <c r="E13" i="21"/>
  <c r="E12" i="21"/>
  <c r="G12" i="21" s="1"/>
  <c r="I12" i="21" s="1"/>
  <c r="E11" i="21"/>
  <c r="G11" i="21" s="1"/>
  <c r="I11" i="21" s="1"/>
  <c r="C6" i="21"/>
  <c r="E26" i="21" s="1"/>
  <c r="K69" i="20"/>
  <c r="J69" i="20"/>
  <c r="D67" i="20"/>
  <c r="K63" i="20"/>
  <c r="J63" i="20"/>
  <c r="E63" i="20"/>
  <c r="G63" i="20" s="1"/>
  <c r="K62" i="20"/>
  <c r="J62" i="20"/>
  <c r="K61" i="20"/>
  <c r="J61" i="20"/>
  <c r="K60" i="20"/>
  <c r="J60" i="20"/>
  <c r="K59" i="20"/>
  <c r="J59" i="20"/>
  <c r="K58" i="20"/>
  <c r="J58" i="20"/>
  <c r="G58" i="20"/>
  <c r="E58" i="20"/>
  <c r="K57" i="20"/>
  <c r="J57" i="20"/>
  <c r="E57" i="20"/>
  <c r="G57" i="20" s="1"/>
  <c r="K56" i="20"/>
  <c r="J56" i="20"/>
  <c r="K55" i="20"/>
  <c r="J55" i="20"/>
  <c r="K54" i="20"/>
  <c r="J54" i="20"/>
  <c r="D51" i="20"/>
  <c r="K49" i="20"/>
  <c r="J49" i="20"/>
  <c r="K48" i="20"/>
  <c r="J48" i="20"/>
  <c r="G48" i="20"/>
  <c r="E48" i="20"/>
  <c r="K47" i="20"/>
  <c r="K51" i="20" s="1"/>
  <c r="J47" i="20"/>
  <c r="E47" i="20"/>
  <c r="G47" i="20" s="1"/>
  <c r="K46" i="20"/>
  <c r="J46" i="20"/>
  <c r="K45" i="20"/>
  <c r="J45" i="20"/>
  <c r="K44" i="20"/>
  <c r="J44" i="20"/>
  <c r="K43" i="20"/>
  <c r="J43" i="20"/>
  <c r="E43" i="20"/>
  <c r="G43" i="20" s="1"/>
  <c r="D41" i="20"/>
  <c r="E41" i="20" s="1"/>
  <c r="K39" i="20"/>
  <c r="J39" i="20"/>
  <c r="E39" i="20"/>
  <c r="G39" i="20" s="1"/>
  <c r="K38" i="20"/>
  <c r="J38" i="20"/>
  <c r="K37" i="20"/>
  <c r="J37" i="20"/>
  <c r="K36" i="20"/>
  <c r="J36" i="20"/>
  <c r="K35" i="20"/>
  <c r="J35" i="20"/>
  <c r="K34" i="20"/>
  <c r="J34" i="20"/>
  <c r="E34" i="20"/>
  <c r="G34" i="20" s="1"/>
  <c r="K33" i="20"/>
  <c r="J33" i="20"/>
  <c r="E33" i="20"/>
  <c r="G33" i="20" s="1"/>
  <c r="K32" i="20"/>
  <c r="J32" i="20"/>
  <c r="G32" i="20"/>
  <c r="E32" i="20"/>
  <c r="K31" i="20"/>
  <c r="K41" i="20" s="1"/>
  <c r="J31" i="20"/>
  <c r="K30" i="20"/>
  <c r="J30" i="20"/>
  <c r="D26" i="20"/>
  <c r="E26" i="20" s="1"/>
  <c r="E24" i="20"/>
  <c r="G24" i="20" s="1"/>
  <c r="I24" i="20" s="1"/>
  <c r="E23" i="20"/>
  <c r="G23" i="20" s="1"/>
  <c r="I23" i="20" s="1"/>
  <c r="E19" i="20"/>
  <c r="G19" i="20" s="1"/>
  <c r="I19" i="20" s="1"/>
  <c r="G18" i="20"/>
  <c r="I18" i="20" s="1"/>
  <c r="E18" i="20"/>
  <c r="E17" i="20"/>
  <c r="G17" i="20" s="1"/>
  <c r="I17" i="20" s="1"/>
  <c r="E14" i="20"/>
  <c r="G14" i="20" s="1"/>
  <c r="I14" i="20" s="1"/>
  <c r="E13" i="20"/>
  <c r="G13" i="20" s="1"/>
  <c r="I13" i="20" s="1"/>
  <c r="E12" i="20"/>
  <c r="G12" i="20" s="1"/>
  <c r="I12" i="20" s="1"/>
  <c r="C6" i="20"/>
  <c r="E35" i="20" s="1"/>
  <c r="G35" i="20" s="1"/>
  <c r="K74" i="19"/>
  <c r="J74" i="19"/>
  <c r="K72" i="19"/>
  <c r="D72" i="19"/>
  <c r="K68" i="19"/>
  <c r="J68" i="19"/>
  <c r="K67" i="19"/>
  <c r="J67" i="19"/>
  <c r="K66" i="19"/>
  <c r="J66" i="19"/>
  <c r="K65" i="19"/>
  <c r="J65" i="19"/>
  <c r="K64" i="19"/>
  <c r="J64" i="19"/>
  <c r="K63" i="19"/>
  <c r="J63" i="19"/>
  <c r="E63" i="19"/>
  <c r="G63" i="19" s="1"/>
  <c r="K62" i="19"/>
  <c r="J62" i="19"/>
  <c r="K61" i="19"/>
  <c r="J61" i="19"/>
  <c r="K60" i="19"/>
  <c r="J60" i="19"/>
  <c r="K59" i="19"/>
  <c r="J59" i="19"/>
  <c r="D56" i="19"/>
  <c r="K54" i="19"/>
  <c r="J54" i="19"/>
  <c r="E54" i="19"/>
  <c r="G54" i="19" s="1"/>
  <c r="K53" i="19"/>
  <c r="J53" i="19"/>
  <c r="E53" i="19"/>
  <c r="G53" i="19" s="1"/>
  <c r="K52" i="19"/>
  <c r="J52" i="19"/>
  <c r="K51" i="19"/>
  <c r="J51" i="19"/>
  <c r="K50" i="19"/>
  <c r="J50" i="19"/>
  <c r="K49" i="19"/>
  <c r="J49" i="19"/>
  <c r="K48" i="19"/>
  <c r="K56" i="19" s="1"/>
  <c r="J48" i="19"/>
  <c r="D46" i="19"/>
  <c r="E46" i="19" s="1"/>
  <c r="K44" i="19"/>
  <c r="J44" i="19"/>
  <c r="K43" i="19"/>
  <c r="J43" i="19"/>
  <c r="K42" i="19"/>
  <c r="J42" i="19"/>
  <c r="K41" i="19"/>
  <c r="J41" i="19"/>
  <c r="K40" i="19"/>
  <c r="J40" i="19"/>
  <c r="K39" i="19"/>
  <c r="J39" i="19"/>
  <c r="G39" i="19"/>
  <c r="E39" i="19"/>
  <c r="K38" i="19"/>
  <c r="J38" i="19"/>
  <c r="E38" i="19"/>
  <c r="G38" i="19" s="1"/>
  <c r="K37" i="19"/>
  <c r="J37" i="19"/>
  <c r="K36" i="19"/>
  <c r="J36" i="19"/>
  <c r="K35" i="19"/>
  <c r="J35" i="19"/>
  <c r="E33" i="19"/>
  <c r="G33" i="19" s="1"/>
  <c r="I33" i="19" s="1"/>
  <c r="D31" i="19"/>
  <c r="G5" i="19" s="1"/>
  <c r="E29" i="19"/>
  <c r="G29" i="19" s="1"/>
  <c r="I29" i="19" s="1"/>
  <c r="E25" i="19"/>
  <c r="G25" i="19" s="1"/>
  <c r="I25" i="19" s="1"/>
  <c r="G24" i="19"/>
  <c r="I24" i="19" s="1"/>
  <c r="K24" i="19" s="1"/>
  <c r="E24" i="19"/>
  <c r="E23" i="19"/>
  <c r="G23" i="19" s="1"/>
  <c r="I23" i="19" s="1"/>
  <c r="E20" i="19"/>
  <c r="G20" i="19" s="1"/>
  <c r="I20" i="19" s="1"/>
  <c r="E19" i="19"/>
  <c r="G19" i="19" s="1"/>
  <c r="I19" i="19" s="1"/>
  <c r="E18" i="19"/>
  <c r="G18" i="19" s="1"/>
  <c r="I18" i="19" s="1"/>
  <c r="E14" i="19"/>
  <c r="G14" i="19" s="1"/>
  <c r="I14" i="19" s="1"/>
  <c r="J13" i="19"/>
  <c r="G13" i="19"/>
  <c r="I13" i="19" s="1"/>
  <c r="K13" i="19" s="1"/>
  <c r="E13" i="19"/>
  <c r="E12" i="19"/>
  <c r="G12" i="19" s="1"/>
  <c r="I12" i="19" s="1"/>
  <c r="E9" i="19"/>
  <c r="G9" i="19" s="1"/>
  <c r="I9" i="19" s="1"/>
  <c r="C6" i="19"/>
  <c r="E22" i="19" s="1"/>
  <c r="G22" i="19" s="1"/>
  <c r="I22" i="19" s="1"/>
  <c r="K68" i="18"/>
  <c r="J68" i="18"/>
  <c r="D66" i="18"/>
  <c r="K62" i="18"/>
  <c r="J62" i="18"/>
  <c r="K61" i="18"/>
  <c r="J61" i="18"/>
  <c r="K60" i="18"/>
  <c r="J60" i="18"/>
  <c r="K59" i="18"/>
  <c r="J59" i="18"/>
  <c r="E59" i="18"/>
  <c r="G59" i="18" s="1"/>
  <c r="K58" i="18"/>
  <c r="J58" i="18"/>
  <c r="E58" i="18"/>
  <c r="G58" i="18" s="1"/>
  <c r="K57" i="18"/>
  <c r="J57" i="18"/>
  <c r="K56" i="18"/>
  <c r="J56" i="18"/>
  <c r="K55" i="18"/>
  <c r="J55" i="18"/>
  <c r="K54" i="18"/>
  <c r="J54" i="18"/>
  <c r="K53" i="18"/>
  <c r="J53" i="18"/>
  <c r="D50" i="18"/>
  <c r="E50" i="18" s="1"/>
  <c r="K48" i="18"/>
  <c r="J48" i="18"/>
  <c r="K47" i="18"/>
  <c r="K50" i="18" s="1"/>
  <c r="J47" i="18"/>
  <c r="K46" i="18"/>
  <c r="J46" i="18"/>
  <c r="K45" i="18"/>
  <c r="J45" i="18"/>
  <c r="K44" i="18"/>
  <c r="J44" i="18"/>
  <c r="K43" i="18"/>
  <c r="J43" i="18"/>
  <c r="K42" i="18"/>
  <c r="J42" i="18"/>
  <c r="D40" i="18"/>
  <c r="E40" i="18" s="1"/>
  <c r="K38" i="18"/>
  <c r="J38" i="18"/>
  <c r="K37" i="18"/>
  <c r="J37" i="18"/>
  <c r="K36" i="18"/>
  <c r="J36" i="18"/>
  <c r="K35" i="18"/>
  <c r="J35" i="18"/>
  <c r="E35" i="18"/>
  <c r="G35" i="18" s="1"/>
  <c r="K34" i="18"/>
  <c r="J34" i="18"/>
  <c r="E34" i="18"/>
  <c r="G34" i="18" s="1"/>
  <c r="K33" i="18"/>
  <c r="K40" i="18" s="1"/>
  <c r="J33" i="18"/>
  <c r="E33" i="18"/>
  <c r="G33" i="18" s="1"/>
  <c r="K32" i="18"/>
  <c r="J32" i="18"/>
  <c r="K31" i="18"/>
  <c r="J31" i="18"/>
  <c r="K30" i="18"/>
  <c r="J30" i="18"/>
  <c r="K29" i="18"/>
  <c r="J29" i="18"/>
  <c r="D25" i="18"/>
  <c r="E23" i="18"/>
  <c r="G23" i="18" s="1"/>
  <c r="I23" i="18" s="1"/>
  <c r="E20" i="18"/>
  <c r="G20" i="18" s="1"/>
  <c r="I20" i="18" s="1"/>
  <c r="E19" i="18"/>
  <c r="G19" i="18" s="1"/>
  <c r="I19" i="18" s="1"/>
  <c r="E12" i="18"/>
  <c r="G12" i="18" s="1"/>
  <c r="I12" i="18" s="1"/>
  <c r="E9" i="18"/>
  <c r="G9" i="18" s="1"/>
  <c r="I9" i="18" s="1"/>
  <c r="C6" i="18"/>
  <c r="G5" i="18"/>
  <c r="K68" i="17"/>
  <c r="J68" i="17"/>
  <c r="D66" i="17"/>
  <c r="K62" i="17"/>
  <c r="J62" i="17"/>
  <c r="K61" i="17"/>
  <c r="J61" i="17"/>
  <c r="K60" i="17"/>
  <c r="J60" i="17"/>
  <c r="E60" i="17"/>
  <c r="G60" i="17" s="1"/>
  <c r="K59" i="17"/>
  <c r="J59" i="17"/>
  <c r="E59" i="17"/>
  <c r="G59" i="17" s="1"/>
  <c r="K58" i="17"/>
  <c r="J58" i="17"/>
  <c r="E58" i="17"/>
  <c r="G58" i="17" s="1"/>
  <c r="K57" i="17"/>
  <c r="J57" i="17"/>
  <c r="K56" i="17"/>
  <c r="J56" i="17"/>
  <c r="K55" i="17"/>
  <c r="J55" i="17"/>
  <c r="K54" i="17"/>
  <c r="J54" i="17"/>
  <c r="K53" i="17"/>
  <c r="J53" i="17"/>
  <c r="D50" i="17"/>
  <c r="E50" i="17" s="1"/>
  <c r="K48" i="17"/>
  <c r="J48" i="17"/>
  <c r="E48" i="17"/>
  <c r="G48" i="17" s="1"/>
  <c r="K47" i="17"/>
  <c r="J47" i="17"/>
  <c r="K46" i="17"/>
  <c r="J46" i="17"/>
  <c r="K45" i="17"/>
  <c r="J45" i="17"/>
  <c r="E45" i="17"/>
  <c r="G45" i="17" s="1"/>
  <c r="K44" i="17"/>
  <c r="J44" i="17"/>
  <c r="G44" i="17"/>
  <c r="E44" i="17"/>
  <c r="K43" i="17"/>
  <c r="K50" i="17" s="1"/>
  <c r="J43" i="17"/>
  <c r="K42" i="17"/>
  <c r="J42" i="17"/>
  <c r="D40" i="17"/>
  <c r="K38" i="17"/>
  <c r="J38" i="17"/>
  <c r="K37" i="17"/>
  <c r="J37" i="17"/>
  <c r="K36" i="17"/>
  <c r="J36" i="17"/>
  <c r="E36" i="17"/>
  <c r="G36" i="17" s="1"/>
  <c r="K35" i="17"/>
  <c r="J35" i="17"/>
  <c r="G35" i="17"/>
  <c r="E35" i="17"/>
  <c r="K34" i="17"/>
  <c r="J34" i="17"/>
  <c r="G34" i="17"/>
  <c r="E34" i="17"/>
  <c r="K33" i="17"/>
  <c r="J33" i="17"/>
  <c r="E33" i="17"/>
  <c r="G33" i="17" s="1"/>
  <c r="K32" i="17"/>
  <c r="J32" i="17"/>
  <c r="K31" i="17"/>
  <c r="J31" i="17"/>
  <c r="K30" i="17"/>
  <c r="J30" i="17"/>
  <c r="K29" i="17"/>
  <c r="J29" i="17"/>
  <c r="E29" i="17"/>
  <c r="G29" i="17" s="1"/>
  <c r="E27" i="17"/>
  <c r="G27" i="17" s="1"/>
  <c r="I27" i="17" s="1"/>
  <c r="E25" i="17"/>
  <c r="D25" i="17"/>
  <c r="G5" i="17" s="1"/>
  <c r="E20" i="17"/>
  <c r="G20" i="17" s="1"/>
  <c r="I20" i="17" s="1"/>
  <c r="E18" i="17"/>
  <c r="G18" i="17" s="1"/>
  <c r="I18" i="17" s="1"/>
  <c r="E15" i="17"/>
  <c r="G15" i="17" s="1"/>
  <c r="I15" i="17" s="1"/>
  <c r="E14" i="17"/>
  <c r="G14" i="17" s="1"/>
  <c r="I14" i="17" s="1"/>
  <c r="E13" i="17"/>
  <c r="G13" i="17" s="1"/>
  <c r="I13" i="17" s="1"/>
  <c r="C6" i="17"/>
  <c r="E40" i="17" s="1"/>
  <c r="K68" i="16"/>
  <c r="J68" i="16"/>
  <c r="D66" i="16"/>
  <c r="K62" i="16"/>
  <c r="J62" i="16"/>
  <c r="K61" i="16"/>
  <c r="J61" i="16"/>
  <c r="E61" i="16"/>
  <c r="G61" i="16" s="1"/>
  <c r="K60" i="16"/>
  <c r="J60" i="16"/>
  <c r="E60" i="16"/>
  <c r="G60" i="16" s="1"/>
  <c r="K59" i="16"/>
  <c r="J59" i="16"/>
  <c r="K58" i="16"/>
  <c r="J58" i="16"/>
  <c r="K57" i="16"/>
  <c r="J57" i="16"/>
  <c r="K56" i="16"/>
  <c r="J56" i="16"/>
  <c r="K55" i="16"/>
  <c r="J55" i="16"/>
  <c r="K54" i="16"/>
  <c r="J54" i="16"/>
  <c r="K53" i="16"/>
  <c r="J53" i="16"/>
  <c r="D50" i="16"/>
  <c r="K48" i="16"/>
  <c r="J48" i="16"/>
  <c r="K47" i="16"/>
  <c r="J47" i="16"/>
  <c r="K46" i="16"/>
  <c r="J46" i="16"/>
  <c r="K45" i="16"/>
  <c r="J45" i="16"/>
  <c r="K44" i="16"/>
  <c r="J44" i="16"/>
  <c r="K43" i="16"/>
  <c r="J43" i="16"/>
  <c r="K42" i="16"/>
  <c r="J42" i="16"/>
  <c r="E40" i="16"/>
  <c r="D40" i="16"/>
  <c r="K38" i="16"/>
  <c r="J38" i="16"/>
  <c r="K37" i="16"/>
  <c r="J37" i="16"/>
  <c r="K36" i="16"/>
  <c r="J36" i="16"/>
  <c r="K35" i="16"/>
  <c r="J35" i="16"/>
  <c r="K34" i="16"/>
  <c r="J34" i="16"/>
  <c r="K33" i="16"/>
  <c r="J33" i="16"/>
  <c r="K32" i="16"/>
  <c r="J32" i="16"/>
  <c r="K31" i="16"/>
  <c r="J31" i="16"/>
  <c r="K30" i="16"/>
  <c r="J30" i="16"/>
  <c r="K29" i="16"/>
  <c r="K40" i="16" s="1"/>
  <c r="J29" i="16"/>
  <c r="D25" i="16"/>
  <c r="E25" i="16" s="1"/>
  <c r="E18" i="16"/>
  <c r="G18" i="16" s="1"/>
  <c r="I18" i="16" s="1"/>
  <c r="C6" i="16"/>
  <c r="E53" i="16" s="1"/>
  <c r="K68" i="15"/>
  <c r="J68" i="15"/>
  <c r="D66" i="15"/>
  <c r="K62" i="15"/>
  <c r="J62" i="15"/>
  <c r="K61" i="15"/>
  <c r="J61" i="15"/>
  <c r="K60" i="15"/>
  <c r="J60" i="15"/>
  <c r="E60" i="15"/>
  <c r="G60" i="15" s="1"/>
  <c r="K59" i="15"/>
  <c r="J59" i="15"/>
  <c r="G59" i="15"/>
  <c r="E59" i="15"/>
  <c r="K58" i="15"/>
  <c r="J58" i="15"/>
  <c r="E58" i="15"/>
  <c r="G58" i="15" s="1"/>
  <c r="K57" i="15"/>
  <c r="J57" i="15"/>
  <c r="K56" i="15"/>
  <c r="J56" i="15"/>
  <c r="K55" i="15"/>
  <c r="J55" i="15"/>
  <c r="K54" i="15"/>
  <c r="J54" i="15"/>
  <c r="K53" i="15"/>
  <c r="J53" i="15"/>
  <c r="D50" i="15"/>
  <c r="E50" i="15" s="1"/>
  <c r="K48" i="15"/>
  <c r="J48" i="15"/>
  <c r="E48" i="15"/>
  <c r="G48" i="15" s="1"/>
  <c r="K47" i="15"/>
  <c r="J47" i="15"/>
  <c r="K46" i="15"/>
  <c r="J46" i="15"/>
  <c r="K45" i="15"/>
  <c r="J45" i="15"/>
  <c r="K44" i="15"/>
  <c r="K50" i="15" s="1"/>
  <c r="J44" i="15"/>
  <c r="E44" i="15"/>
  <c r="G44" i="15" s="1"/>
  <c r="K43" i="15"/>
  <c r="J43" i="15"/>
  <c r="K42" i="15"/>
  <c r="J42" i="15"/>
  <c r="D40" i="15"/>
  <c r="E40" i="15" s="1"/>
  <c r="K38" i="15"/>
  <c r="J38" i="15"/>
  <c r="K37" i="15"/>
  <c r="J37" i="15"/>
  <c r="K36" i="15"/>
  <c r="J36" i="15"/>
  <c r="G36" i="15"/>
  <c r="E36" i="15"/>
  <c r="K35" i="15"/>
  <c r="J35" i="15"/>
  <c r="E35" i="15"/>
  <c r="G35" i="15" s="1"/>
  <c r="K34" i="15"/>
  <c r="J34" i="15"/>
  <c r="E34" i="15"/>
  <c r="G34" i="15" s="1"/>
  <c r="K33" i="15"/>
  <c r="J33" i="15"/>
  <c r="K32" i="15"/>
  <c r="J32" i="15"/>
  <c r="K31" i="15"/>
  <c r="J31" i="15"/>
  <c r="K30" i="15"/>
  <c r="J30" i="15"/>
  <c r="K29" i="15"/>
  <c r="J29" i="15"/>
  <c r="G29" i="15"/>
  <c r="E29" i="15"/>
  <c r="G27" i="15"/>
  <c r="I27" i="15" s="1"/>
  <c r="E27" i="15"/>
  <c r="D25" i="15"/>
  <c r="G5" i="15" s="1"/>
  <c r="I18" i="15"/>
  <c r="K18" i="15" s="1"/>
  <c r="G18" i="15"/>
  <c r="E18" i="15"/>
  <c r="E15" i="15"/>
  <c r="G15" i="15" s="1"/>
  <c r="I15" i="15" s="1"/>
  <c r="E14" i="15"/>
  <c r="G14" i="15" s="1"/>
  <c r="I14" i="15" s="1"/>
  <c r="E13" i="15"/>
  <c r="G13" i="15" s="1"/>
  <c r="I13" i="15" s="1"/>
  <c r="C6" i="15"/>
  <c r="E61" i="15" s="1"/>
  <c r="G61" i="15" s="1"/>
  <c r="K77" i="14"/>
  <c r="J77" i="14"/>
  <c r="D75" i="14"/>
  <c r="K71" i="14"/>
  <c r="J71" i="14"/>
  <c r="K70" i="14"/>
  <c r="J70" i="14"/>
  <c r="G70" i="14"/>
  <c r="E70" i="14"/>
  <c r="K69" i="14"/>
  <c r="J69" i="14"/>
  <c r="G69" i="14"/>
  <c r="E69" i="14"/>
  <c r="K68" i="14"/>
  <c r="J68" i="14"/>
  <c r="G68" i="14"/>
  <c r="E68" i="14"/>
  <c r="K67" i="14"/>
  <c r="J67" i="14"/>
  <c r="E67" i="14"/>
  <c r="G67" i="14" s="1"/>
  <c r="K66" i="14"/>
  <c r="J66" i="14"/>
  <c r="E66" i="14"/>
  <c r="G66" i="14" s="1"/>
  <c r="K65" i="14"/>
  <c r="J65" i="14"/>
  <c r="E65" i="14"/>
  <c r="G65" i="14" s="1"/>
  <c r="K64" i="14"/>
  <c r="J64" i="14"/>
  <c r="E64" i="14"/>
  <c r="G64" i="14" s="1"/>
  <c r="K63" i="14"/>
  <c r="J63" i="14"/>
  <c r="G63" i="14"/>
  <c r="E63" i="14"/>
  <c r="K62" i="14"/>
  <c r="J62" i="14"/>
  <c r="G62" i="14"/>
  <c r="E62" i="14"/>
  <c r="K61" i="14"/>
  <c r="J61" i="14"/>
  <c r="G61" i="14"/>
  <c r="E61" i="14"/>
  <c r="K60" i="14"/>
  <c r="J60" i="14"/>
  <c r="G60" i="14"/>
  <c r="E60" i="14"/>
  <c r="K59" i="14"/>
  <c r="J59" i="14"/>
  <c r="E59" i="14"/>
  <c r="D56" i="14"/>
  <c r="E56" i="14" s="1"/>
  <c r="K54" i="14"/>
  <c r="J54" i="14"/>
  <c r="E54" i="14"/>
  <c r="G54" i="14" s="1"/>
  <c r="K53" i="14"/>
  <c r="J53" i="14"/>
  <c r="G53" i="14"/>
  <c r="E53" i="14"/>
  <c r="K52" i="14"/>
  <c r="J52" i="14"/>
  <c r="G52" i="14"/>
  <c r="E52" i="14"/>
  <c r="K51" i="14"/>
  <c r="J51" i="14"/>
  <c r="G51" i="14"/>
  <c r="E51" i="14"/>
  <c r="K50" i="14"/>
  <c r="J50" i="14"/>
  <c r="K49" i="14"/>
  <c r="J49" i="14"/>
  <c r="E49" i="14"/>
  <c r="G49" i="14" s="1"/>
  <c r="K48" i="14"/>
  <c r="J48" i="14"/>
  <c r="D46" i="14"/>
  <c r="E46" i="14" s="1"/>
  <c r="K44" i="14"/>
  <c r="J44" i="14"/>
  <c r="E44" i="14"/>
  <c r="G44" i="14" s="1"/>
  <c r="K43" i="14"/>
  <c r="J43" i="14"/>
  <c r="G43" i="14"/>
  <c r="E43" i="14"/>
  <c r="K42" i="14"/>
  <c r="J42" i="14"/>
  <c r="E42" i="14"/>
  <c r="G42" i="14" s="1"/>
  <c r="K41" i="14"/>
  <c r="J41" i="14"/>
  <c r="K40" i="14"/>
  <c r="J40" i="14"/>
  <c r="E40" i="14"/>
  <c r="G40" i="14" s="1"/>
  <c r="K39" i="14"/>
  <c r="J39" i="14"/>
  <c r="E39" i="14"/>
  <c r="G39" i="14" s="1"/>
  <c r="K38" i="14"/>
  <c r="J38" i="14"/>
  <c r="G38" i="14"/>
  <c r="E38" i="14"/>
  <c r="K37" i="14"/>
  <c r="J37" i="14"/>
  <c r="E37" i="14"/>
  <c r="G37" i="14" s="1"/>
  <c r="K36" i="14"/>
  <c r="J36" i="14"/>
  <c r="E36" i="14"/>
  <c r="G36" i="14" s="1"/>
  <c r="K35" i="14"/>
  <c r="J35" i="14"/>
  <c r="G35" i="14"/>
  <c r="E35" i="14"/>
  <c r="K34" i="14"/>
  <c r="J34" i="14"/>
  <c r="K33" i="14"/>
  <c r="J33" i="14"/>
  <c r="G33" i="14"/>
  <c r="E33" i="14"/>
  <c r="G31" i="14"/>
  <c r="I31" i="14" s="1"/>
  <c r="E31" i="14"/>
  <c r="D29" i="14"/>
  <c r="G5" i="14" s="1"/>
  <c r="E27" i="14"/>
  <c r="G27" i="14" s="1"/>
  <c r="I27" i="14" s="1"/>
  <c r="E26" i="14"/>
  <c r="G26" i="14" s="1"/>
  <c r="I26" i="14" s="1"/>
  <c r="G23" i="14"/>
  <c r="I23" i="14" s="1"/>
  <c r="E23" i="14"/>
  <c r="I22" i="14"/>
  <c r="K22" i="14" s="1"/>
  <c r="G22" i="14"/>
  <c r="E22" i="14"/>
  <c r="I21" i="14"/>
  <c r="K21" i="14" s="1"/>
  <c r="E21" i="14"/>
  <c r="G21" i="14" s="1"/>
  <c r="E19" i="14"/>
  <c r="G19" i="14" s="1"/>
  <c r="I19" i="14" s="1"/>
  <c r="G18" i="14"/>
  <c r="I18" i="14" s="1"/>
  <c r="E18" i="14"/>
  <c r="E17" i="14"/>
  <c r="G17" i="14" s="1"/>
  <c r="I17" i="14" s="1"/>
  <c r="E16" i="14"/>
  <c r="G16" i="14" s="1"/>
  <c r="I16" i="14" s="1"/>
  <c r="E15" i="14"/>
  <c r="G15" i="14" s="1"/>
  <c r="I15" i="14" s="1"/>
  <c r="G14" i="14"/>
  <c r="I14" i="14" s="1"/>
  <c r="E14" i="14"/>
  <c r="I13" i="14"/>
  <c r="K13" i="14" s="1"/>
  <c r="G13" i="14"/>
  <c r="E13" i="14"/>
  <c r="E12" i="14"/>
  <c r="G12" i="14" s="1"/>
  <c r="I12" i="14" s="1"/>
  <c r="J12" i="14" s="1"/>
  <c r="E11" i="14"/>
  <c r="G11" i="14" s="1"/>
  <c r="I11" i="14" s="1"/>
  <c r="E10" i="14"/>
  <c r="G10" i="14" s="1"/>
  <c r="I10" i="14" s="1"/>
  <c r="C6" i="14"/>
  <c r="E20" i="14" s="1"/>
  <c r="G20" i="14" s="1"/>
  <c r="I20" i="14" s="1"/>
  <c r="K75" i="13"/>
  <c r="J75" i="13"/>
  <c r="K74" i="13"/>
  <c r="J74" i="13"/>
  <c r="D72" i="13"/>
  <c r="K64" i="13"/>
  <c r="J64" i="13"/>
  <c r="K63" i="13"/>
  <c r="J63" i="13"/>
  <c r="K62" i="13"/>
  <c r="J62" i="13"/>
  <c r="K61" i="13"/>
  <c r="J61" i="13"/>
  <c r="K60" i="13"/>
  <c r="J60" i="13"/>
  <c r="K59" i="13"/>
  <c r="J59" i="13"/>
  <c r="E59" i="13"/>
  <c r="G59" i="13" s="1"/>
  <c r="K58" i="13"/>
  <c r="J58" i="13"/>
  <c r="E58" i="13"/>
  <c r="G58" i="13" s="1"/>
  <c r="K57" i="13"/>
  <c r="J57" i="13"/>
  <c r="K56" i="13"/>
  <c r="J56" i="13"/>
  <c r="K55" i="13"/>
  <c r="J55" i="13"/>
  <c r="D52" i="13"/>
  <c r="K50" i="13"/>
  <c r="J50" i="13"/>
  <c r="K49" i="13"/>
  <c r="J49" i="13"/>
  <c r="K48" i="13"/>
  <c r="J48" i="13"/>
  <c r="K47" i="13"/>
  <c r="J47" i="13"/>
  <c r="K46" i="13"/>
  <c r="J46" i="13"/>
  <c r="K45" i="13"/>
  <c r="J45" i="13"/>
  <c r="K44" i="13"/>
  <c r="J44" i="13"/>
  <c r="D42" i="13"/>
  <c r="E42" i="13" s="1"/>
  <c r="K40" i="13"/>
  <c r="J40" i="13"/>
  <c r="K39" i="13"/>
  <c r="J39" i="13"/>
  <c r="K38" i="13"/>
  <c r="J38" i="13"/>
  <c r="K37" i="13"/>
  <c r="J37" i="13"/>
  <c r="K36" i="13"/>
  <c r="J36" i="13"/>
  <c r="K35" i="13"/>
  <c r="J35" i="13"/>
  <c r="K34" i="13"/>
  <c r="J34" i="13"/>
  <c r="K33" i="13"/>
  <c r="J33" i="13"/>
  <c r="K32" i="13"/>
  <c r="J32" i="13"/>
  <c r="K31" i="13"/>
  <c r="J31" i="13"/>
  <c r="K30" i="13"/>
  <c r="J30" i="13"/>
  <c r="K29" i="13"/>
  <c r="J29" i="13"/>
  <c r="D25" i="13"/>
  <c r="G5" i="13" s="1"/>
  <c r="G19" i="13"/>
  <c r="I19" i="13" s="1"/>
  <c r="E19" i="13"/>
  <c r="G18" i="13"/>
  <c r="I18" i="13" s="1"/>
  <c r="K18" i="13" s="1"/>
  <c r="E18" i="13"/>
  <c r="C6" i="13"/>
  <c r="K74" i="12"/>
  <c r="J74" i="12"/>
  <c r="D72" i="12"/>
  <c r="K64" i="12"/>
  <c r="J64" i="12"/>
  <c r="K63" i="12"/>
  <c r="J63" i="12"/>
  <c r="E63" i="12"/>
  <c r="G63" i="12" s="1"/>
  <c r="K62" i="12"/>
  <c r="J62" i="12"/>
  <c r="G62" i="12"/>
  <c r="E62" i="12"/>
  <c r="K61" i="12"/>
  <c r="J61" i="12"/>
  <c r="K60" i="12"/>
  <c r="J60" i="12"/>
  <c r="E60" i="12"/>
  <c r="G60" i="12" s="1"/>
  <c r="K59" i="12"/>
  <c r="J59" i="12"/>
  <c r="K58" i="12"/>
  <c r="J58" i="12"/>
  <c r="K57" i="12"/>
  <c r="J57" i="12"/>
  <c r="K56" i="12"/>
  <c r="J56" i="12"/>
  <c r="E56" i="12"/>
  <c r="K55" i="12"/>
  <c r="J55" i="12"/>
  <c r="G55" i="12"/>
  <c r="E55" i="12"/>
  <c r="D52" i="12"/>
  <c r="E52" i="12" s="1"/>
  <c r="K50" i="12"/>
  <c r="J50" i="12"/>
  <c r="K49" i="12"/>
  <c r="J49" i="12"/>
  <c r="K48" i="12"/>
  <c r="J48" i="12"/>
  <c r="K47" i="12"/>
  <c r="J47" i="12"/>
  <c r="E47" i="12"/>
  <c r="G47" i="12" s="1"/>
  <c r="K46" i="12"/>
  <c r="J46" i="12"/>
  <c r="E46" i="12"/>
  <c r="G46" i="12" s="1"/>
  <c r="K45" i="12"/>
  <c r="J45" i="12"/>
  <c r="K44" i="12"/>
  <c r="K52" i="12" s="1"/>
  <c r="J44" i="12"/>
  <c r="E44" i="12"/>
  <c r="G44" i="12" s="1"/>
  <c r="K42" i="12"/>
  <c r="E42" i="12"/>
  <c r="D42" i="12"/>
  <c r="K40" i="12"/>
  <c r="J40" i="12"/>
  <c r="K39" i="12"/>
  <c r="J39" i="12"/>
  <c r="G39" i="12"/>
  <c r="E39" i="12"/>
  <c r="K38" i="12"/>
  <c r="J38" i="12"/>
  <c r="E38" i="12"/>
  <c r="G38" i="12" s="1"/>
  <c r="K37" i="12"/>
  <c r="J37" i="12"/>
  <c r="E37" i="12"/>
  <c r="G37" i="12" s="1"/>
  <c r="K36" i="12"/>
  <c r="J36" i="12"/>
  <c r="E36" i="12"/>
  <c r="G36" i="12" s="1"/>
  <c r="K35" i="12"/>
  <c r="J35" i="12"/>
  <c r="E35" i="12"/>
  <c r="G35" i="12" s="1"/>
  <c r="K34" i="12"/>
  <c r="J34" i="12"/>
  <c r="K33" i="12"/>
  <c r="J33" i="12"/>
  <c r="K32" i="12"/>
  <c r="J32" i="12"/>
  <c r="K31" i="12"/>
  <c r="J31" i="12"/>
  <c r="K30" i="12"/>
  <c r="J30" i="12"/>
  <c r="K29" i="12"/>
  <c r="J29" i="12"/>
  <c r="E29" i="12"/>
  <c r="G29" i="12" s="1"/>
  <c r="E27" i="12"/>
  <c r="G27" i="12" s="1"/>
  <c r="I27" i="12" s="1"/>
  <c r="D25" i="12"/>
  <c r="E23" i="12"/>
  <c r="G23" i="12" s="1"/>
  <c r="I23" i="12" s="1"/>
  <c r="E21" i="12"/>
  <c r="G21" i="12" s="1"/>
  <c r="I21" i="12" s="1"/>
  <c r="E20" i="12"/>
  <c r="G20" i="12" s="1"/>
  <c r="I20" i="12" s="1"/>
  <c r="E19" i="12"/>
  <c r="G19" i="12" s="1"/>
  <c r="I19" i="12" s="1"/>
  <c r="K17" i="12"/>
  <c r="J17" i="12"/>
  <c r="E17" i="12"/>
  <c r="G17" i="12" s="1"/>
  <c r="I17" i="12" s="1"/>
  <c r="E16" i="12"/>
  <c r="G16" i="12" s="1"/>
  <c r="I16" i="12" s="1"/>
  <c r="E15" i="12"/>
  <c r="G15" i="12" s="1"/>
  <c r="I15" i="12" s="1"/>
  <c r="J15" i="12" s="1"/>
  <c r="E14" i="12"/>
  <c r="G14" i="12" s="1"/>
  <c r="I14" i="12" s="1"/>
  <c r="E13" i="12"/>
  <c r="G13" i="12" s="1"/>
  <c r="I13" i="12" s="1"/>
  <c r="K13" i="12" s="1"/>
  <c r="G12" i="12"/>
  <c r="I12" i="12" s="1"/>
  <c r="E12" i="12"/>
  <c r="E11" i="12"/>
  <c r="G11" i="12" s="1"/>
  <c r="I11" i="12" s="1"/>
  <c r="E10" i="12"/>
  <c r="G10" i="12" s="1"/>
  <c r="I10" i="12" s="1"/>
  <c r="K9" i="12"/>
  <c r="I9" i="12"/>
  <c r="J9" i="12" s="1"/>
  <c r="E9" i="12"/>
  <c r="G9" i="12" s="1"/>
  <c r="C6" i="12"/>
  <c r="E48" i="12" s="1"/>
  <c r="G48" i="12" s="1"/>
  <c r="K74" i="11"/>
  <c r="J74" i="11"/>
  <c r="D72" i="11"/>
  <c r="K64" i="11"/>
  <c r="J64" i="11"/>
  <c r="E64" i="11"/>
  <c r="G64" i="11" s="1"/>
  <c r="K63" i="11"/>
  <c r="J63" i="11"/>
  <c r="E63" i="11"/>
  <c r="G63" i="11" s="1"/>
  <c r="K62" i="11"/>
  <c r="J62" i="11"/>
  <c r="G62" i="11"/>
  <c r="E62" i="11"/>
  <c r="K61" i="11"/>
  <c r="J61" i="11"/>
  <c r="K60" i="11"/>
  <c r="J60" i="11"/>
  <c r="K59" i="11"/>
  <c r="J59" i="11"/>
  <c r="E59" i="11"/>
  <c r="G59" i="11" s="1"/>
  <c r="K58" i="11"/>
  <c r="J58" i="11"/>
  <c r="E58" i="11"/>
  <c r="G58" i="11" s="1"/>
  <c r="K57" i="11"/>
  <c r="J57" i="11"/>
  <c r="E57" i="11"/>
  <c r="G57" i="11" s="1"/>
  <c r="K56" i="11"/>
  <c r="J56" i="11"/>
  <c r="E56" i="11"/>
  <c r="G56" i="11" s="1"/>
  <c r="K55" i="11"/>
  <c r="K72" i="11" s="1"/>
  <c r="J55" i="11"/>
  <c r="D52" i="11"/>
  <c r="E52" i="11" s="1"/>
  <c r="K50" i="11"/>
  <c r="J50" i="11"/>
  <c r="K49" i="11"/>
  <c r="J49" i="11"/>
  <c r="K48" i="11"/>
  <c r="J48" i="11"/>
  <c r="E48" i="11"/>
  <c r="G48" i="11" s="1"/>
  <c r="K47" i="11"/>
  <c r="J47" i="11"/>
  <c r="G47" i="11"/>
  <c r="E47" i="11"/>
  <c r="K46" i="11"/>
  <c r="J46" i="11"/>
  <c r="E46" i="11"/>
  <c r="G46" i="11" s="1"/>
  <c r="K45" i="11"/>
  <c r="J45" i="11"/>
  <c r="E45" i="11"/>
  <c r="G45" i="11" s="1"/>
  <c r="K44" i="11"/>
  <c r="J44" i="11"/>
  <c r="D42" i="11"/>
  <c r="E42" i="11" s="1"/>
  <c r="K40" i="11"/>
  <c r="J40" i="11"/>
  <c r="K39" i="11"/>
  <c r="J39" i="11"/>
  <c r="G39" i="11"/>
  <c r="E39" i="11"/>
  <c r="K38" i="11"/>
  <c r="J38" i="11"/>
  <c r="E38" i="11"/>
  <c r="G38" i="11" s="1"/>
  <c r="K37" i="11"/>
  <c r="J37" i="11"/>
  <c r="E37" i="11"/>
  <c r="G37" i="11" s="1"/>
  <c r="K36" i="11"/>
  <c r="J36" i="11"/>
  <c r="E36" i="11"/>
  <c r="G36" i="11" s="1"/>
  <c r="K35" i="11"/>
  <c r="J35" i="11"/>
  <c r="K34" i="11"/>
  <c r="J34" i="11"/>
  <c r="K33" i="11"/>
  <c r="J33" i="11"/>
  <c r="E33" i="11"/>
  <c r="G33" i="11" s="1"/>
  <c r="K32" i="11"/>
  <c r="J32" i="11"/>
  <c r="G32" i="11"/>
  <c r="E32" i="11"/>
  <c r="K31" i="11"/>
  <c r="J31" i="11"/>
  <c r="G31" i="11"/>
  <c r="E31" i="11"/>
  <c r="K30" i="11"/>
  <c r="J30" i="11"/>
  <c r="E30" i="11"/>
  <c r="G30" i="11" s="1"/>
  <c r="K29" i="11"/>
  <c r="J29" i="11"/>
  <c r="E29" i="11"/>
  <c r="G29" i="11" s="1"/>
  <c r="D25" i="11"/>
  <c r="E25" i="11" s="1"/>
  <c r="E23" i="11"/>
  <c r="G23" i="11" s="1"/>
  <c r="I23" i="11" s="1"/>
  <c r="E22" i="11"/>
  <c r="G22" i="11" s="1"/>
  <c r="I22" i="11" s="1"/>
  <c r="E21" i="11"/>
  <c r="G21" i="11" s="1"/>
  <c r="I21" i="11" s="1"/>
  <c r="G18" i="11"/>
  <c r="I18" i="11" s="1"/>
  <c r="E18" i="11"/>
  <c r="E17" i="11"/>
  <c r="G17" i="11" s="1"/>
  <c r="I17" i="11" s="1"/>
  <c r="E16" i="11"/>
  <c r="G16" i="11" s="1"/>
  <c r="I16" i="11" s="1"/>
  <c r="E15" i="11"/>
  <c r="G15" i="11" s="1"/>
  <c r="I15" i="11" s="1"/>
  <c r="E13" i="11"/>
  <c r="G13" i="11" s="1"/>
  <c r="I13" i="11" s="1"/>
  <c r="E12" i="11"/>
  <c r="G12" i="11" s="1"/>
  <c r="I12" i="11" s="1"/>
  <c r="E11" i="11"/>
  <c r="G11" i="11" s="1"/>
  <c r="I11" i="11" s="1"/>
  <c r="K10" i="11"/>
  <c r="J10" i="11"/>
  <c r="I10" i="11"/>
  <c r="G10" i="11"/>
  <c r="E10" i="11"/>
  <c r="C6" i="11"/>
  <c r="E27" i="11" s="1"/>
  <c r="G27" i="11" s="1"/>
  <c r="I27" i="11" s="1"/>
  <c r="K74" i="10"/>
  <c r="J74" i="10"/>
  <c r="D72" i="10"/>
  <c r="K64" i="10"/>
  <c r="J64" i="10"/>
  <c r="E64" i="10"/>
  <c r="G64" i="10" s="1"/>
  <c r="K63" i="10"/>
  <c r="J63" i="10"/>
  <c r="K62" i="10"/>
  <c r="J62" i="10"/>
  <c r="K61" i="10"/>
  <c r="J61" i="10"/>
  <c r="E61" i="10"/>
  <c r="G61" i="10" s="1"/>
  <c r="K60" i="10"/>
  <c r="J60" i="10"/>
  <c r="K59" i="10"/>
  <c r="J59" i="10"/>
  <c r="K58" i="10"/>
  <c r="J58" i="10"/>
  <c r="K57" i="10"/>
  <c r="J57" i="10"/>
  <c r="E57" i="10"/>
  <c r="G57" i="10" s="1"/>
  <c r="K56" i="10"/>
  <c r="J56" i="10"/>
  <c r="K55" i="10"/>
  <c r="J55" i="10"/>
  <c r="D52" i="10"/>
  <c r="E52" i="10" s="1"/>
  <c r="K50" i="10"/>
  <c r="K52" i="10" s="1"/>
  <c r="J50" i="10"/>
  <c r="E50" i="10"/>
  <c r="G50" i="10" s="1"/>
  <c r="K49" i="10"/>
  <c r="J49" i="10"/>
  <c r="K48" i="10"/>
  <c r="J48" i="10"/>
  <c r="K47" i="10"/>
  <c r="J47" i="10"/>
  <c r="K46" i="10"/>
  <c r="J46" i="10"/>
  <c r="K45" i="10"/>
  <c r="J45" i="10"/>
  <c r="E45" i="10"/>
  <c r="G45" i="10" s="1"/>
  <c r="K44" i="10"/>
  <c r="J44" i="10"/>
  <c r="E44" i="10"/>
  <c r="G44" i="10" s="1"/>
  <c r="D42" i="10"/>
  <c r="E42" i="10" s="1"/>
  <c r="K40" i="10"/>
  <c r="J40" i="10"/>
  <c r="E40" i="10"/>
  <c r="G40" i="10" s="1"/>
  <c r="K39" i="10"/>
  <c r="J39" i="10"/>
  <c r="K38" i="10"/>
  <c r="J38" i="10"/>
  <c r="K37" i="10"/>
  <c r="J37" i="10"/>
  <c r="K36" i="10"/>
  <c r="J36" i="10"/>
  <c r="K35" i="10"/>
  <c r="J35" i="10"/>
  <c r="G35" i="10"/>
  <c r="E35" i="10"/>
  <c r="K34" i="10"/>
  <c r="J34" i="10"/>
  <c r="E34" i="10"/>
  <c r="G34" i="10" s="1"/>
  <c r="K33" i="10"/>
  <c r="J33" i="10"/>
  <c r="E33" i="10"/>
  <c r="G33" i="10" s="1"/>
  <c r="K32" i="10"/>
  <c r="K42" i="10" s="1"/>
  <c r="J32" i="10"/>
  <c r="K31" i="10"/>
  <c r="J31" i="10"/>
  <c r="K30" i="10"/>
  <c r="J30" i="10"/>
  <c r="K29" i="10"/>
  <c r="J29" i="10"/>
  <c r="E27" i="10"/>
  <c r="G27" i="10" s="1"/>
  <c r="I27" i="10" s="1"/>
  <c r="D25" i="10"/>
  <c r="G5" i="10" s="1"/>
  <c r="E21" i="10"/>
  <c r="G21" i="10" s="1"/>
  <c r="I21" i="10" s="1"/>
  <c r="E15" i="10"/>
  <c r="G15" i="10" s="1"/>
  <c r="I15" i="10" s="1"/>
  <c r="E14" i="10"/>
  <c r="G14" i="10" s="1"/>
  <c r="I14" i="10" s="1"/>
  <c r="E13" i="10"/>
  <c r="G13" i="10" s="1"/>
  <c r="I13" i="10" s="1"/>
  <c r="C6" i="10"/>
  <c r="E74" i="10" s="1"/>
  <c r="G74" i="10" s="1"/>
  <c r="K76" i="9"/>
  <c r="J76" i="9"/>
  <c r="D74" i="9"/>
  <c r="K66" i="9"/>
  <c r="J66" i="9"/>
  <c r="K65" i="9"/>
  <c r="J65" i="9"/>
  <c r="K64" i="9"/>
  <c r="J64" i="9"/>
  <c r="K63" i="9"/>
  <c r="J63" i="9"/>
  <c r="K62" i="9"/>
  <c r="J62" i="9"/>
  <c r="K61" i="9"/>
  <c r="J61" i="9"/>
  <c r="K60" i="9"/>
  <c r="J60" i="9"/>
  <c r="K59" i="9"/>
  <c r="J59" i="9"/>
  <c r="K58" i="9"/>
  <c r="J58" i="9"/>
  <c r="E58" i="9"/>
  <c r="G58" i="9" s="1"/>
  <c r="K57" i="9"/>
  <c r="J57" i="9"/>
  <c r="D54" i="9"/>
  <c r="E54" i="9" s="1"/>
  <c r="K52" i="9"/>
  <c r="J52" i="9"/>
  <c r="K51" i="9"/>
  <c r="J51" i="9"/>
  <c r="K50" i="9"/>
  <c r="J50" i="9"/>
  <c r="K49" i="9"/>
  <c r="J49" i="9"/>
  <c r="K48" i="9"/>
  <c r="J48" i="9"/>
  <c r="K47" i="9"/>
  <c r="K54" i="9" s="1"/>
  <c r="J47" i="9"/>
  <c r="K46" i="9"/>
  <c r="J46" i="9"/>
  <c r="D44" i="9"/>
  <c r="K42" i="9"/>
  <c r="J42" i="9"/>
  <c r="K41" i="9"/>
  <c r="J41" i="9"/>
  <c r="K40" i="9"/>
  <c r="J40" i="9"/>
  <c r="K39" i="9"/>
  <c r="J39" i="9"/>
  <c r="K38" i="9"/>
  <c r="J38" i="9"/>
  <c r="K37" i="9"/>
  <c r="J37" i="9"/>
  <c r="K36" i="9"/>
  <c r="J36" i="9"/>
  <c r="K35" i="9"/>
  <c r="J35" i="9"/>
  <c r="K34" i="9"/>
  <c r="J34" i="9"/>
  <c r="K33" i="9"/>
  <c r="J33" i="9"/>
  <c r="K32" i="9"/>
  <c r="J32" i="9"/>
  <c r="K31" i="9"/>
  <c r="J31" i="9"/>
  <c r="D27" i="9"/>
  <c r="G5" i="9" s="1"/>
  <c r="C6" i="9"/>
  <c r="E12" i="9" s="1"/>
  <c r="G12" i="9" s="1"/>
  <c r="I12" i="9" s="1"/>
  <c r="K73" i="8"/>
  <c r="J73" i="8"/>
  <c r="D71" i="8"/>
  <c r="K63" i="8"/>
  <c r="J63" i="8"/>
  <c r="K62" i="8"/>
  <c r="J62" i="8"/>
  <c r="E62" i="8"/>
  <c r="G62" i="8" s="1"/>
  <c r="K61" i="8"/>
  <c r="J61" i="8"/>
  <c r="E61" i="8"/>
  <c r="G61" i="8" s="1"/>
  <c r="K60" i="8"/>
  <c r="J60" i="8"/>
  <c r="K59" i="8"/>
  <c r="J59" i="8"/>
  <c r="K58" i="8"/>
  <c r="J58" i="8"/>
  <c r="K57" i="8"/>
  <c r="J57" i="8"/>
  <c r="K56" i="8"/>
  <c r="J56" i="8"/>
  <c r="K55" i="8"/>
  <c r="J55" i="8"/>
  <c r="E55" i="8"/>
  <c r="G55" i="8" s="1"/>
  <c r="K54" i="8"/>
  <c r="J54" i="8"/>
  <c r="E54" i="8"/>
  <c r="K51" i="8"/>
  <c r="D51" i="8"/>
  <c r="E51" i="8" s="1"/>
  <c r="K49" i="8"/>
  <c r="J49" i="8"/>
  <c r="K48" i="8"/>
  <c r="J48" i="8"/>
  <c r="K47" i="8"/>
  <c r="J47" i="8"/>
  <c r="K46" i="8"/>
  <c r="J46" i="8"/>
  <c r="K45" i="8"/>
  <c r="J45" i="8"/>
  <c r="K44" i="8"/>
  <c r="J44" i="8"/>
  <c r="E44" i="8"/>
  <c r="G44" i="8" s="1"/>
  <c r="K43" i="8"/>
  <c r="J43" i="8"/>
  <c r="D41" i="8"/>
  <c r="E41" i="8" s="1"/>
  <c r="K39" i="8"/>
  <c r="J39" i="8"/>
  <c r="K38" i="8"/>
  <c r="J38" i="8"/>
  <c r="E38" i="8"/>
  <c r="G38" i="8" s="1"/>
  <c r="K37" i="8"/>
  <c r="J37" i="8"/>
  <c r="K36" i="8"/>
  <c r="J36" i="8"/>
  <c r="K35" i="8"/>
  <c r="J35" i="8"/>
  <c r="K34" i="8"/>
  <c r="J34" i="8"/>
  <c r="K33" i="8"/>
  <c r="J33" i="8"/>
  <c r="K32" i="8"/>
  <c r="J32" i="8"/>
  <c r="K31" i="8"/>
  <c r="J31" i="8"/>
  <c r="E31" i="8"/>
  <c r="G31" i="8" s="1"/>
  <c r="K30" i="8"/>
  <c r="J30" i="8"/>
  <c r="K29" i="8"/>
  <c r="J29" i="8"/>
  <c r="K28" i="8"/>
  <c r="J28" i="8"/>
  <c r="K26" i="8"/>
  <c r="J26" i="8"/>
  <c r="E24" i="8"/>
  <c r="D24" i="8"/>
  <c r="E22" i="8"/>
  <c r="G22" i="8" s="1"/>
  <c r="I22" i="8" s="1"/>
  <c r="G21" i="8"/>
  <c r="I21" i="8" s="1"/>
  <c r="E21" i="8"/>
  <c r="G16" i="8"/>
  <c r="I16" i="8" s="1"/>
  <c r="E16" i="8"/>
  <c r="G15" i="8"/>
  <c r="I15" i="8" s="1"/>
  <c r="E15" i="8"/>
  <c r="E9" i="8"/>
  <c r="G9" i="8" s="1"/>
  <c r="I9" i="8" s="1"/>
  <c r="C6" i="8"/>
  <c r="E60" i="8" s="1"/>
  <c r="G60" i="8" s="1"/>
  <c r="G5" i="8"/>
  <c r="K73" i="7"/>
  <c r="J73" i="7"/>
  <c r="E73" i="7"/>
  <c r="G73" i="7" s="1"/>
  <c r="D71" i="7"/>
  <c r="K63" i="7"/>
  <c r="J63" i="7"/>
  <c r="K62" i="7"/>
  <c r="J62" i="7"/>
  <c r="K61" i="7"/>
  <c r="J61" i="7"/>
  <c r="K60" i="7"/>
  <c r="J60" i="7"/>
  <c r="E60" i="7"/>
  <c r="G60" i="7" s="1"/>
  <c r="K59" i="7"/>
  <c r="J59" i="7"/>
  <c r="K58" i="7"/>
  <c r="J58" i="7"/>
  <c r="K57" i="7"/>
  <c r="J57" i="7"/>
  <c r="K56" i="7"/>
  <c r="J56" i="7"/>
  <c r="K55" i="7"/>
  <c r="J55" i="7"/>
  <c r="K54" i="7"/>
  <c r="K71" i="7" s="1"/>
  <c r="J54" i="7"/>
  <c r="D51" i="7"/>
  <c r="E51" i="7" s="1"/>
  <c r="K49" i="7"/>
  <c r="J49" i="7"/>
  <c r="K48" i="7"/>
  <c r="J48" i="7"/>
  <c r="K47" i="7"/>
  <c r="K51" i="7" s="1"/>
  <c r="J47" i="7"/>
  <c r="E47" i="7"/>
  <c r="G47" i="7" s="1"/>
  <c r="K46" i="7"/>
  <c r="J46" i="7"/>
  <c r="K45" i="7"/>
  <c r="J45" i="7"/>
  <c r="K44" i="7"/>
  <c r="J44" i="7"/>
  <c r="K43" i="7"/>
  <c r="J43" i="7"/>
  <c r="D41" i="7"/>
  <c r="E41" i="7" s="1"/>
  <c r="K39" i="7"/>
  <c r="J39" i="7"/>
  <c r="K38" i="7"/>
  <c r="J38" i="7"/>
  <c r="E38" i="7"/>
  <c r="G38" i="7" s="1"/>
  <c r="K37" i="7"/>
  <c r="J37" i="7"/>
  <c r="K36" i="7"/>
  <c r="J36" i="7"/>
  <c r="K35" i="7"/>
  <c r="J35" i="7"/>
  <c r="K34" i="7"/>
  <c r="J34" i="7"/>
  <c r="K33" i="7"/>
  <c r="J33" i="7"/>
  <c r="K32" i="7"/>
  <c r="J32" i="7"/>
  <c r="E32" i="7"/>
  <c r="G32" i="7" s="1"/>
  <c r="K31" i="7"/>
  <c r="J31" i="7"/>
  <c r="K30" i="7"/>
  <c r="J30" i="7"/>
  <c r="K29" i="7"/>
  <c r="J29" i="7"/>
  <c r="K28" i="7"/>
  <c r="J28" i="7"/>
  <c r="K26" i="7"/>
  <c r="J26" i="7"/>
  <c r="D24" i="7"/>
  <c r="E20" i="7"/>
  <c r="G20" i="7" s="1"/>
  <c r="I20" i="7" s="1"/>
  <c r="J20" i="7" s="1"/>
  <c r="E16" i="7"/>
  <c r="G16" i="7" s="1"/>
  <c r="I16" i="7" s="1"/>
  <c r="E10" i="7"/>
  <c r="G10" i="7" s="1"/>
  <c r="I10" i="7" s="1"/>
  <c r="E9" i="7"/>
  <c r="G9" i="7" s="1"/>
  <c r="I9" i="7" s="1"/>
  <c r="C6" i="7"/>
  <c r="E22" i="7" s="1"/>
  <c r="G22" i="7" s="1"/>
  <c r="I22" i="7" s="1"/>
  <c r="K73" i="6"/>
  <c r="J73" i="6"/>
  <c r="E73" i="6"/>
  <c r="G73" i="6" s="1"/>
  <c r="D71" i="6"/>
  <c r="K63" i="6"/>
  <c r="J63" i="6"/>
  <c r="K62" i="6"/>
  <c r="J62" i="6"/>
  <c r="K61" i="6"/>
  <c r="J61" i="6"/>
  <c r="K60" i="6"/>
  <c r="J60" i="6"/>
  <c r="K59" i="6"/>
  <c r="J59" i="6"/>
  <c r="K58" i="6"/>
  <c r="J58" i="6"/>
  <c r="E58" i="6"/>
  <c r="G58" i="6" s="1"/>
  <c r="K57" i="6"/>
  <c r="J57" i="6"/>
  <c r="K56" i="6"/>
  <c r="J56" i="6"/>
  <c r="K55" i="6"/>
  <c r="J55" i="6"/>
  <c r="K54" i="6"/>
  <c r="J54" i="6"/>
  <c r="D51" i="6"/>
  <c r="E51" i="6" s="1"/>
  <c r="K49" i="6"/>
  <c r="J49" i="6"/>
  <c r="K48" i="6"/>
  <c r="K51" i="6" s="1"/>
  <c r="J48" i="6"/>
  <c r="E48" i="6"/>
  <c r="G48" i="6" s="1"/>
  <c r="K47" i="6"/>
  <c r="J47" i="6"/>
  <c r="E47" i="6"/>
  <c r="G47" i="6" s="1"/>
  <c r="K46" i="6"/>
  <c r="J46" i="6"/>
  <c r="K45" i="6"/>
  <c r="J45" i="6"/>
  <c r="K44" i="6"/>
  <c r="J44" i="6"/>
  <c r="K43" i="6"/>
  <c r="J43" i="6"/>
  <c r="D41" i="6"/>
  <c r="E41" i="6" s="1"/>
  <c r="K39" i="6"/>
  <c r="J39" i="6"/>
  <c r="K38" i="6"/>
  <c r="J38" i="6"/>
  <c r="K37" i="6"/>
  <c r="J37" i="6"/>
  <c r="E37" i="6"/>
  <c r="G37" i="6" s="1"/>
  <c r="K36" i="6"/>
  <c r="J36" i="6"/>
  <c r="K35" i="6"/>
  <c r="J35" i="6"/>
  <c r="K34" i="6"/>
  <c r="J34" i="6"/>
  <c r="K33" i="6"/>
  <c r="J33" i="6"/>
  <c r="E33" i="6"/>
  <c r="G33" i="6" s="1"/>
  <c r="K32" i="6"/>
  <c r="J32" i="6"/>
  <c r="K31" i="6"/>
  <c r="J31" i="6"/>
  <c r="K30" i="6"/>
  <c r="J30" i="6"/>
  <c r="K29" i="6"/>
  <c r="J29" i="6"/>
  <c r="K28" i="6"/>
  <c r="J28" i="6"/>
  <c r="K26" i="6"/>
  <c r="J26" i="6"/>
  <c r="D24" i="6"/>
  <c r="E24" i="6" s="1"/>
  <c r="E20" i="6"/>
  <c r="G20" i="6" s="1"/>
  <c r="I20" i="6" s="1"/>
  <c r="E9" i="6"/>
  <c r="G9" i="6" s="1"/>
  <c r="I9" i="6" s="1"/>
  <c r="C6" i="6"/>
  <c r="E49" i="6" s="1"/>
  <c r="G49" i="6" s="1"/>
  <c r="K73" i="5"/>
  <c r="J73" i="5"/>
  <c r="D71" i="5"/>
  <c r="K63" i="5"/>
  <c r="J63" i="5"/>
  <c r="K62" i="5"/>
  <c r="J62" i="5"/>
  <c r="K61" i="5"/>
  <c r="J61" i="5"/>
  <c r="K60" i="5"/>
  <c r="J60" i="5"/>
  <c r="K59" i="5"/>
  <c r="J59" i="5"/>
  <c r="K58" i="5"/>
  <c r="J58" i="5"/>
  <c r="K57" i="5"/>
  <c r="J57" i="5"/>
  <c r="K56" i="5"/>
  <c r="J56" i="5"/>
  <c r="K55" i="5"/>
  <c r="J55" i="5"/>
  <c r="K54" i="5"/>
  <c r="J54" i="5"/>
  <c r="D51" i="5"/>
  <c r="E51" i="5" s="1"/>
  <c r="K49" i="5"/>
  <c r="J49" i="5"/>
  <c r="K48" i="5"/>
  <c r="J48" i="5"/>
  <c r="K47" i="5"/>
  <c r="J47" i="5"/>
  <c r="K46" i="5"/>
  <c r="J46" i="5"/>
  <c r="K45" i="5"/>
  <c r="J45" i="5"/>
  <c r="K44" i="5"/>
  <c r="J44" i="5"/>
  <c r="K43" i="5"/>
  <c r="J43" i="5"/>
  <c r="D41" i="5"/>
  <c r="K39" i="5"/>
  <c r="J39" i="5"/>
  <c r="K38" i="5"/>
  <c r="J38" i="5"/>
  <c r="K37" i="5"/>
  <c r="J37" i="5"/>
  <c r="K36" i="5"/>
  <c r="J36" i="5"/>
  <c r="K35" i="5"/>
  <c r="J35" i="5"/>
  <c r="K34" i="5"/>
  <c r="J34" i="5"/>
  <c r="K33" i="5"/>
  <c r="J33" i="5"/>
  <c r="K32" i="5"/>
  <c r="J32" i="5"/>
  <c r="K31" i="5"/>
  <c r="J31" i="5"/>
  <c r="E31" i="5"/>
  <c r="G31" i="5" s="1"/>
  <c r="K30" i="5"/>
  <c r="K41" i="5" s="1"/>
  <c r="J30" i="5"/>
  <c r="K29" i="5"/>
  <c r="J29" i="5"/>
  <c r="K28" i="5"/>
  <c r="J28" i="5"/>
  <c r="K26" i="5"/>
  <c r="J26" i="5"/>
  <c r="D24" i="5"/>
  <c r="E24" i="5" s="1"/>
  <c r="E14" i="5"/>
  <c r="G14" i="5" s="1"/>
  <c r="I14" i="5" s="1"/>
  <c r="E9" i="5"/>
  <c r="G9" i="5" s="1"/>
  <c r="I9" i="5" s="1"/>
  <c r="C6" i="5"/>
  <c r="E21" i="5" s="1"/>
  <c r="G21" i="5" s="1"/>
  <c r="I21" i="5" s="1"/>
  <c r="G5" i="5"/>
  <c r="K72" i="4"/>
  <c r="J72" i="4"/>
  <c r="D70" i="4"/>
  <c r="K62" i="4"/>
  <c r="J62" i="4"/>
  <c r="K61" i="4"/>
  <c r="J61" i="4"/>
  <c r="K60" i="4"/>
  <c r="J60" i="4"/>
  <c r="K59" i="4"/>
  <c r="J59" i="4"/>
  <c r="E59" i="4"/>
  <c r="G59" i="4" s="1"/>
  <c r="K58" i="4"/>
  <c r="J58" i="4"/>
  <c r="K57" i="4"/>
  <c r="J57" i="4"/>
  <c r="K56" i="4"/>
  <c r="J56" i="4"/>
  <c r="K55" i="4"/>
  <c r="J55" i="4"/>
  <c r="K54" i="4"/>
  <c r="J54" i="4"/>
  <c r="K53" i="4"/>
  <c r="K70" i="4" s="1"/>
  <c r="J53" i="4"/>
  <c r="E53" i="4"/>
  <c r="D50" i="4"/>
  <c r="K48" i="4"/>
  <c r="J48" i="4"/>
  <c r="G48" i="4"/>
  <c r="K47" i="4"/>
  <c r="J47" i="4"/>
  <c r="K46" i="4"/>
  <c r="J46" i="4"/>
  <c r="K45" i="4"/>
  <c r="J45" i="4"/>
  <c r="K44" i="4"/>
  <c r="J44" i="4"/>
  <c r="K43" i="4"/>
  <c r="J43" i="4"/>
  <c r="E43" i="4"/>
  <c r="G43" i="4" s="1"/>
  <c r="K42" i="4"/>
  <c r="K50" i="4" s="1"/>
  <c r="J42" i="4"/>
  <c r="K40" i="4"/>
  <c r="D40" i="4"/>
  <c r="K38" i="4"/>
  <c r="J38" i="4"/>
  <c r="K37" i="4"/>
  <c r="J37" i="4"/>
  <c r="K36" i="4"/>
  <c r="J36" i="4"/>
  <c r="K35" i="4"/>
  <c r="J35" i="4"/>
  <c r="K34" i="4"/>
  <c r="J34" i="4"/>
  <c r="K33" i="4"/>
  <c r="J33" i="4"/>
  <c r="E33" i="4"/>
  <c r="G33" i="4" s="1"/>
  <c r="K32" i="4"/>
  <c r="J32" i="4"/>
  <c r="K31" i="4"/>
  <c r="J31" i="4"/>
  <c r="K30" i="4"/>
  <c r="J30" i="4"/>
  <c r="K29" i="4"/>
  <c r="J29" i="4"/>
  <c r="K27" i="4"/>
  <c r="J27" i="4"/>
  <c r="E27" i="4"/>
  <c r="G27" i="4" s="1"/>
  <c r="D25" i="4"/>
  <c r="G5" i="4" s="1"/>
  <c r="I19" i="4"/>
  <c r="K19" i="4" s="1"/>
  <c r="G19" i="4"/>
  <c r="E19" i="4"/>
  <c r="E14" i="4"/>
  <c r="G14" i="4" s="1"/>
  <c r="I14" i="4" s="1"/>
  <c r="E13" i="4"/>
  <c r="G13" i="4" s="1"/>
  <c r="I13" i="4" s="1"/>
  <c r="E9" i="4"/>
  <c r="G9" i="4" s="1"/>
  <c r="I9" i="4" s="1"/>
  <c r="C6" i="4"/>
  <c r="E48" i="4" s="1"/>
  <c r="K71" i="3"/>
  <c r="J71" i="3"/>
  <c r="E71" i="3"/>
  <c r="G71" i="3" s="1"/>
  <c r="D69" i="3"/>
  <c r="K61" i="3"/>
  <c r="J61" i="3"/>
  <c r="E61" i="3"/>
  <c r="G61" i="3" s="1"/>
  <c r="K60" i="3"/>
  <c r="J60" i="3"/>
  <c r="G60" i="3"/>
  <c r="E60" i="3"/>
  <c r="K59" i="3"/>
  <c r="J59" i="3"/>
  <c r="G59" i="3"/>
  <c r="E59" i="3"/>
  <c r="K58" i="3"/>
  <c r="J58" i="3"/>
  <c r="E58" i="3"/>
  <c r="G58" i="3" s="1"/>
  <c r="K57" i="3"/>
  <c r="J57" i="3"/>
  <c r="E57" i="3"/>
  <c r="G57" i="3" s="1"/>
  <c r="K56" i="3"/>
  <c r="J56" i="3"/>
  <c r="K55" i="3"/>
  <c r="J55" i="3"/>
  <c r="E55" i="3"/>
  <c r="G55" i="3" s="1"/>
  <c r="K54" i="3"/>
  <c r="J54" i="3"/>
  <c r="E54" i="3"/>
  <c r="G54" i="3" s="1"/>
  <c r="K53" i="3"/>
  <c r="J53" i="3"/>
  <c r="G53" i="3"/>
  <c r="E53" i="3"/>
  <c r="K52" i="3"/>
  <c r="K69" i="3" s="1"/>
  <c r="J52" i="3"/>
  <c r="E52" i="3"/>
  <c r="K49" i="3"/>
  <c r="E49" i="3"/>
  <c r="D49" i="3"/>
  <c r="K47" i="3"/>
  <c r="J47" i="3"/>
  <c r="G47" i="3"/>
  <c r="E47" i="3"/>
  <c r="K46" i="3"/>
  <c r="J46" i="3"/>
  <c r="K45" i="3"/>
  <c r="J45" i="3"/>
  <c r="E45" i="3"/>
  <c r="G45" i="3" s="1"/>
  <c r="K44" i="3"/>
  <c r="J44" i="3"/>
  <c r="E44" i="3"/>
  <c r="G44" i="3" s="1"/>
  <c r="K43" i="3"/>
  <c r="J43" i="3"/>
  <c r="E43" i="3"/>
  <c r="G43" i="3" s="1"/>
  <c r="K42" i="3"/>
  <c r="J42" i="3"/>
  <c r="E42" i="3"/>
  <c r="G42" i="3" s="1"/>
  <c r="K41" i="3"/>
  <c r="J41" i="3"/>
  <c r="E41" i="3"/>
  <c r="G41" i="3" s="1"/>
  <c r="E39" i="3"/>
  <c r="D39" i="3"/>
  <c r="K37" i="3"/>
  <c r="J37" i="3"/>
  <c r="E37" i="3"/>
  <c r="G37" i="3" s="1"/>
  <c r="K36" i="3"/>
  <c r="J36" i="3"/>
  <c r="E36" i="3"/>
  <c r="G36" i="3" s="1"/>
  <c r="K35" i="3"/>
  <c r="J35" i="3"/>
  <c r="E35" i="3"/>
  <c r="G35" i="3" s="1"/>
  <c r="K34" i="3"/>
  <c r="J34" i="3"/>
  <c r="G34" i="3"/>
  <c r="E34" i="3"/>
  <c r="K33" i="3"/>
  <c r="J33" i="3"/>
  <c r="K32" i="3"/>
  <c r="J32" i="3"/>
  <c r="G32" i="3"/>
  <c r="E32" i="3"/>
  <c r="K31" i="3"/>
  <c r="J31" i="3"/>
  <c r="K30" i="3"/>
  <c r="J30" i="3"/>
  <c r="E30" i="3"/>
  <c r="G30" i="3" s="1"/>
  <c r="K29" i="3"/>
  <c r="J29" i="3"/>
  <c r="E29" i="3"/>
  <c r="G29" i="3" s="1"/>
  <c r="K28" i="3"/>
  <c r="K39" i="3" s="1"/>
  <c r="J28" i="3"/>
  <c r="E28" i="3"/>
  <c r="G28" i="3" s="1"/>
  <c r="K26" i="3"/>
  <c r="J26" i="3"/>
  <c r="E26" i="3"/>
  <c r="G26" i="3" s="1"/>
  <c r="D24" i="3"/>
  <c r="E24" i="3" s="1"/>
  <c r="K22" i="3"/>
  <c r="J22" i="3"/>
  <c r="K21" i="3"/>
  <c r="J21" i="3"/>
  <c r="E21" i="3"/>
  <c r="G21" i="3" s="1"/>
  <c r="K20" i="3"/>
  <c r="J20" i="3"/>
  <c r="E20" i="3"/>
  <c r="G20" i="3" s="1"/>
  <c r="K19" i="3"/>
  <c r="J19" i="3"/>
  <c r="E19" i="3"/>
  <c r="G19" i="3" s="1"/>
  <c r="K18" i="3"/>
  <c r="J18" i="3"/>
  <c r="G18" i="3"/>
  <c r="E18" i="3"/>
  <c r="K17" i="3"/>
  <c r="J17" i="3"/>
  <c r="K16" i="3"/>
  <c r="J16" i="3"/>
  <c r="G16" i="3"/>
  <c r="E16" i="3"/>
  <c r="K15" i="3"/>
  <c r="J15" i="3"/>
  <c r="K14" i="3"/>
  <c r="J14" i="3"/>
  <c r="E14" i="3"/>
  <c r="G14" i="3" s="1"/>
  <c r="K13" i="3"/>
  <c r="J13" i="3"/>
  <c r="E13" i="3"/>
  <c r="G13" i="3" s="1"/>
  <c r="K12" i="3"/>
  <c r="J12" i="3"/>
  <c r="E12" i="3"/>
  <c r="G12" i="3" s="1"/>
  <c r="K11" i="3"/>
  <c r="J11" i="3"/>
  <c r="E11" i="3"/>
  <c r="G11" i="3" s="1"/>
  <c r="K10" i="3"/>
  <c r="J10" i="3"/>
  <c r="E10" i="3"/>
  <c r="G10" i="3" s="1"/>
  <c r="K9" i="3"/>
  <c r="K24" i="3" s="1"/>
  <c r="J9" i="3"/>
  <c r="C6" i="3"/>
  <c r="E33" i="3" s="1"/>
  <c r="G33" i="3" s="1"/>
  <c r="G5" i="3"/>
  <c r="K71" i="2"/>
  <c r="J71" i="2"/>
  <c r="E71" i="2"/>
  <c r="G71" i="2" s="1"/>
  <c r="D69" i="2"/>
  <c r="K61" i="2"/>
  <c r="J61" i="2"/>
  <c r="K60" i="2"/>
  <c r="J60" i="2"/>
  <c r="K59" i="2"/>
  <c r="J59" i="2"/>
  <c r="K58" i="2"/>
  <c r="J58" i="2"/>
  <c r="K57" i="2"/>
  <c r="J57" i="2"/>
  <c r="G57" i="2"/>
  <c r="E57" i="2"/>
  <c r="K56" i="2"/>
  <c r="J56" i="2"/>
  <c r="E56" i="2"/>
  <c r="G56" i="2" s="1"/>
  <c r="K55" i="2"/>
  <c r="K69" i="2" s="1"/>
  <c r="J55" i="2"/>
  <c r="E55" i="2"/>
  <c r="G55" i="2" s="1"/>
  <c r="K54" i="2"/>
  <c r="J54" i="2"/>
  <c r="K53" i="2"/>
  <c r="J53" i="2"/>
  <c r="K52" i="2"/>
  <c r="J52" i="2"/>
  <c r="D49" i="2"/>
  <c r="E49" i="2" s="1"/>
  <c r="K47" i="2"/>
  <c r="J47" i="2"/>
  <c r="E47" i="2"/>
  <c r="G47" i="2" s="1"/>
  <c r="K46" i="2"/>
  <c r="J46" i="2"/>
  <c r="E46" i="2"/>
  <c r="G46" i="2" s="1"/>
  <c r="K45" i="2"/>
  <c r="J45" i="2"/>
  <c r="K44" i="2"/>
  <c r="J44" i="2"/>
  <c r="K43" i="2"/>
  <c r="J43" i="2"/>
  <c r="K42" i="2"/>
  <c r="J42" i="2"/>
  <c r="K41" i="2"/>
  <c r="K49" i="2" s="1"/>
  <c r="J41" i="2"/>
  <c r="E41" i="2"/>
  <c r="G41" i="2" s="1"/>
  <c r="D39" i="2"/>
  <c r="E39" i="2" s="1"/>
  <c r="K37" i="2"/>
  <c r="J37" i="2"/>
  <c r="E37" i="2"/>
  <c r="G37" i="2" s="1"/>
  <c r="K36" i="2"/>
  <c r="J36" i="2"/>
  <c r="K35" i="2"/>
  <c r="J35" i="2"/>
  <c r="K34" i="2"/>
  <c r="J34" i="2"/>
  <c r="K33" i="2"/>
  <c r="J33" i="2"/>
  <c r="E33" i="2"/>
  <c r="G33" i="2" s="1"/>
  <c r="K32" i="2"/>
  <c r="J32" i="2"/>
  <c r="E32" i="2"/>
  <c r="G32" i="2" s="1"/>
  <c r="K31" i="2"/>
  <c r="J31" i="2"/>
  <c r="E31" i="2"/>
  <c r="G31" i="2" s="1"/>
  <c r="K30" i="2"/>
  <c r="K39" i="2" s="1"/>
  <c r="J30" i="2"/>
  <c r="K29" i="2"/>
  <c r="J29" i="2"/>
  <c r="K28" i="2"/>
  <c r="J28" i="2"/>
  <c r="K26" i="2"/>
  <c r="J26" i="2"/>
  <c r="D24" i="2"/>
  <c r="E24" i="2" s="1"/>
  <c r="K22" i="2"/>
  <c r="J22" i="2"/>
  <c r="E22" i="2"/>
  <c r="G22" i="2" s="1"/>
  <c r="K21" i="2"/>
  <c r="J21" i="2"/>
  <c r="E21" i="2"/>
  <c r="G21" i="2" s="1"/>
  <c r="K20" i="2"/>
  <c r="J20" i="2"/>
  <c r="K19" i="2"/>
  <c r="J19" i="2"/>
  <c r="K18" i="2"/>
  <c r="J18" i="2"/>
  <c r="K17" i="2"/>
  <c r="J17" i="2"/>
  <c r="E17" i="2"/>
  <c r="G17" i="2" s="1"/>
  <c r="K16" i="2"/>
  <c r="J16" i="2"/>
  <c r="E16" i="2"/>
  <c r="G16" i="2" s="1"/>
  <c r="K15" i="2"/>
  <c r="J15" i="2"/>
  <c r="E15" i="2"/>
  <c r="G15" i="2" s="1"/>
  <c r="K14" i="2"/>
  <c r="J14" i="2"/>
  <c r="K13" i="2"/>
  <c r="J13" i="2"/>
  <c r="K12" i="2"/>
  <c r="J12" i="2"/>
  <c r="K11" i="2"/>
  <c r="J11" i="2"/>
  <c r="K10" i="2"/>
  <c r="J10" i="2"/>
  <c r="E10" i="2"/>
  <c r="G10" i="2" s="1"/>
  <c r="K9" i="2"/>
  <c r="J9" i="2"/>
  <c r="E9" i="2"/>
  <c r="G9" i="2" s="1"/>
  <c r="C6" i="2"/>
  <c r="E43" i="2" s="1"/>
  <c r="G43" i="2" s="1"/>
  <c r="G5" i="2"/>
  <c r="M54" i="1"/>
  <c r="M53" i="1"/>
  <c r="M52" i="1"/>
  <c r="M51" i="1"/>
  <c r="M50" i="1"/>
  <c r="M49" i="1"/>
  <c r="M48" i="1"/>
  <c r="M47" i="1"/>
  <c r="M46" i="1"/>
  <c r="M45" i="1"/>
  <c r="M44" i="1"/>
  <c r="F35" i="23" s="1"/>
  <c r="K35" i="23" s="1"/>
  <c r="M43" i="1"/>
  <c r="F58" i="23" s="1"/>
  <c r="K58" i="23" s="1"/>
  <c r="M42" i="1"/>
  <c r="F43" i="23" s="1"/>
  <c r="K43" i="23" s="1"/>
  <c r="M41" i="1"/>
  <c r="F34" i="23" s="1"/>
  <c r="K34" i="23" s="1"/>
  <c r="M40" i="1"/>
  <c r="F33" i="23" s="1"/>
  <c r="K33" i="23" s="1"/>
  <c r="M39" i="1"/>
  <c r="F32" i="23" s="1"/>
  <c r="K32" i="23" s="1"/>
  <c r="M38" i="1"/>
  <c r="F67" i="23" s="1"/>
  <c r="K67" i="23" s="1"/>
  <c r="M37" i="1"/>
  <c r="F31" i="23" s="1"/>
  <c r="M36" i="1"/>
  <c r="F60" i="23" s="1"/>
  <c r="K60" i="23" s="1"/>
  <c r="M35" i="1"/>
  <c r="F30" i="23" s="1"/>
  <c r="K30" i="23" s="1"/>
  <c r="M34" i="1"/>
  <c r="F46" i="23" s="1"/>
  <c r="K46" i="23" s="1"/>
  <c r="M33" i="1"/>
  <c r="F45" i="23" s="1"/>
  <c r="K45" i="23" s="1"/>
  <c r="M32" i="1"/>
  <c r="F57" i="23" s="1"/>
  <c r="K57" i="23" s="1"/>
  <c r="M31" i="1"/>
  <c r="F56" i="23" s="1"/>
  <c r="K56" i="23" s="1"/>
  <c r="M30" i="1"/>
  <c r="F61" i="23" s="1"/>
  <c r="K61" i="23" s="1"/>
  <c r="M29" i="1"/>
  <c r="F55" i="23" s="1"/>
  <c r="K55" i="23" s="1"/>
  <c r="M28" i="1"/>
  <c r="F54" i="23" s="1"/>
  <c r="K54" i="23" s="1"/>
  <c r="M27" i="1"/>
  <c r="F59" i="23" s="1"/>
  <c r="K59" i="23" s="1"/>
  <c r="M26" i="1"/>
  <c r="F47" i="23" s="1"/>
  <c r="K47" i="23" s="1"/>
  <c r="M25" i="1"/>
  <c r="F44" i="23" s="1"/>
  <c r="K44" i="23" s="1"/>
  <c r="M24" i="1"/>
  <c r="F39" i="23" s="1"/>
  <c r="K39" i="23" s="1"/>
  <c r="M23" i="1"/>
  <c r="F36" i="23" s="1"/>
  <c r="K36" i="23" s="1"/>
  <c r="M22" i="1"/>
  <c r="F53" i="23" s="1"/>
  <c r="K53" i="23" s="1"/>
  <c r="M21" i="1"/>
  <c r="F37" i="23" s="1"/>
  <c r="K37" i="23" s="1"/>
  <c r="M20" i="1"/>
  <c r="F38" i="23" s="1"/>
  <c r="K38" i="23" s="1"/>
  <c r="M19" i="1"/>
  <c r="F52" i="23" s="1"/>
  <c r="K52" i="23" s="1"/>
  <c r="M18" i="1"/>
  <c r="F13" i="23" s="1"/>
  <c r="M17" i="1"/>
  <c r="F23" i="23" s="1"/>
  <c r="M16" i="1"/>
  <c r="F10" i="23" s="1"/>
  <c r="M15" i="1"/>
  <c r="F20" i="23" s="1"/>
  <c r="M14" i="1"/>
  <c r="F24" i="23" s="1"/>
  <c r="M13" i="1"/>
  <c r="F9" i="23" s="1"/>
  <c r="M12" i="1"/>
  <c r="F14" i="23" s="1"/>
  <c r="M11" i="1"/>
  <c r="F18" i="23" s="1"/>
  <c r="M10" i="1"/>
  <c r="F11" i="23" s="1"/>
  <c r="M9" i="1"/>
  <c r="F28" i="23" s="1"/>
  <c r="M8" i="1"/>
  <c r="F21" i="23" s="1"/>
  <c r="M7" i="1"/>
  <c r="F15" i="23" s="1"/>
  <c r="M6" i="1"/>
  <c r="F17" i="23" s="1"/>
  <c r="M5" i="1"/>
  <c r="F12" i="23" s="1"/>
  <c r="M4" i="1"/>
  <c r="F16" i="23" s="1"/>
  <c r="M3" i="1"/>
  <c r="F22" i="23" s="1"/>
  <c r="M2" i="1"/>
  <c r="F19" i="23" s="1"/>
  <c r="K21" i="10" l="1"/>
  <c r="J21" i="10"/>
  <c r="K31" i="14"/>
  <c r="J31" i="14"/>
  <c r="K27" i="10"/>
  <c r="J27" i="10"/>
  <c r="K16" i="12"/>
  <c r="J16" i="12"/>
  <c r="K19" i="13"/>
  <c r="J19" i="13"/>
  <c r="K9" i="8"/>
  <c r="J9" i="8"/>
  <c r="K20" i="17"/>
  <c r="J20" i="17"/>
  <c r="K21" i="8"/>
  <c r="J21" i="8"/>
  <c r="J23" i="12"/>
  <c r="K23" i="12"/>
  <c r="K22" i="8"/>
  <c r="J22" i="8"/>
  <c r="K27" i="12"/>
  <c r="J27" i="12"/>
  <c r="L49" i="3"/>
  <c r="K15" i="14"/>
  <c r="J15" i="14"/>
  <c r="K16" i="14"/>
  <c r="J16" i="14"/>
  <c r="J13" i="15"/>
  <c r="K13" i="15"/>
  <c r="K16" i="8"/>
  <c r="J16" i="8"/>
  <c r="K22" i="7"/>
  <c r="J22" i="7"/>
  <c r="K11" i="11"/>
  <c r="J11" i="11"/>
  <c r="K20" i="6"/>
  <c r="J20" i="6"/>
  <c r="L43" i="3"/>
  <c r="K9" i="7"/>
  <c r="J9" i="7"/>
  <c r="K12" i="11"/>
  <c r="J12" i="11"/>
  <c r="J19" i="12"/>
  <c r="K19" i="12"/>
  <c r="J10" i="7"/>
  <c r="K10" i="7"/>
  <c r="K15" i="11"/>
  <c r="J15" i="11"/>
  <c r="L36" i="3"/>
  <c r="L54" i="3"/>
  <c r="K41" i="6"/>
  <c r="K16" i="7"/>
  <c r="J16" i="7"/>
  <c r="K16" i="11"/>
  <c r="J16" i="11"/>
  <c r="J9" i="6"/>
  <c r="K9" i="6"/>
  <c r="K13" i="4"/>
  <c r="J13" i="4"/>
  <c r="K12" i="9"/>
  <c r="J12" i="9"/>
  <c r="J17" i="11"/>
  <c r="K17" i="11"/>
  <c r="L32" i="3"/>
  <c r="L45" i="3"/>
  <c r="K18" i="11"/>
  <c r="J18" i="11"/>
  <c r="L22" i="3"/>
  <c r="K15" i="8"/>
  <c r="J15" i="8"/>
  <c r="K20" i="12"/>
  <c r="J20" i="12"/>
  <c r="K14" i="4"/>
  <c r="J14" i="4"/>
  <c r="K21" i="11"/>
  <c r="J21" i="11"/>
  <c r="J10" i="12"/>
  <c r="K10" i="12"/>
  <c r="L16" i="3"/>
  <c r="K22" i="11"/>
  <c r="J22" i="11"/>
  <c r="K11" i="12"/>
  <c r="J11" i="12"/>
  <c r="K23" i="14"/>
  <c r="J23" i="14"/>
  <c r="L12" i="3"/>
  <c r="J13" i="10"/>
  <c r="K13" i="10"/>
  <c r="K23" i="11"/>
  <c r="J23" i="11"/>
  <c r="K26" i="14"/>
  <c r="J26" i="14"/>
  <c r="J9" i="4"/>
  <c r="K9" i="4"/>
  <c r="L59" i="3"/>
  <c r="J14" i="5"/>
  <c r="K14" i="5"/>
  <c r="K14" i="10"/>
  <c r="J14" i="10"/>
  <c r="J12" i="12"/>
  <c r="K12" i="12"/>
  <c r="L47" i="3"/>
  <c r="K51" i="5"/>
  <c r="K74" i="3"/>
  <c r="K4" i="3"/>
  <c r="M4" i="3" s="1"/>
  <c r="K2" i="3"/>
  <c r="L69" i="3" s="1"/>
  <c r="K21" i="5"/>
  <c r="J21" i="5"/>
  <c r="K9" i="5"/>
  <c r="J9" i="5"/>
  <c r="L20" i="3"/>
  <c r="L34" i="3"/>
  <c r="K15" i="10"/>
  <c r="J15" i="10"/>
  <c r="J18" i="19"/>
  <c r="K18" i="19"/>
  <c r="E66" i="9"/>
  <c r="G66" i="9" s="1"/>
  <c r="E42" i="4"/>
  <c r="G42" i="4" s="1"/>
  <c r="E38" i="5"/>
  <c r="G38" i="5" s="1"/>
  <c r="E13" i="7"/>
  <c r="G13" i="7" s="1"/>
  <c r="I13" i="7" s="1"/>
  <c r="K20" i="7"/>
  <c r="E58" i="7"/>
  <c r="G58" i="7" s="1"/>
  <c r="E14" i="8"/>
  <c r="G14" i="8" s="1"/>
  <c r="I14" i="8" s="1"/>
  <c r="K72" i="12"/>
  <c r="G52" i="3"/>
  <c r="E25" i="4"/>
  <c r="E50" i="4"/>
  <c r="E48" i="5"/>
  <c r="G48" i="5" s="1"/>
  <c r="E31" i="6"/>
  <c r="G31" i="6" s="1"/>
  <c r="E21" i="7"/>
  <c r="G21" i="7" s="1"/>
  <c r="I21" i="7" s="1"/>
  <c r="E31" i="7"/>
  <c r="G31" i="7" s="1"/>
  <c r="E9" i="9"/>
  <c r="G9" i="9" s="1"/>
  <c r="I9" i="9" s="1"/>
  <c r="E18" i="9"/>
  <c r="G18" i="9" s="1"/>
  <c r="I18" i="9" s="1"/>
  <c r="E48" i="9"/>
  <c r="G48" i="9" s="1"/>
  <c r="J18" i="13"/>
  <c r="K20" i="14"/>
  <c r="J20" i="14"/>
  <c r="J22" i="14"/>
  <c r="K23" i="19"/>
  <c r="J23" i="19"/>
  <c r="E34" i="4"/>
  <c r="G34" i="4" s="1"/>
  <c r="E14" i="6"/>
  <c r="G14" i="6" s="1"/>
  <c r="I14" i="6" s="1"/>
  <c r="E48" i="7"/>
  <c r="G48" i="7" s="1"/>
  <c r="E38" i="9"/>
  <c r="G38" i="9" s="1"/>
  <c r="E59" i="9"/>
  <c r="G59" i="9" s="1"/>
  <c r="K21" i="12"/>
  <c r="J21" i="12"/>
  <c r="G56" i="12"/>
  <c r="E25" i="9"/>
  <c r="G25" i="9" s="1"/>
  <c r="I25" i="9" s="1"/>
  <c r="E58" i="5"/>
  <c r="G58" i="5" s="1"/>
  <c r="E26" i="5"/>
  <c r="G26" i="5" s="1"/>
  <c r="E13" i="5"/>
  <c r="G13" i="5" s="1"/>
  <c r="I13" i="5" s="1"/>
  <c r="E12" i="5"/>
  <c r="G12" i="5" s="1"/>
  <c r="I12" i="5" s="1"/>
  <c r="E63" i="5"/>
  <c r="G63" i="5" s="1"/>
  <c r="E47" i="5"/>
  <c r="G47" i="5" s="1"/>
  <c r="E32" i="5"/>
  <c r="G32" i="5" s="1"/>
  <c r="E15" i="5"/>
  <c r="G15" i="5" s="1"/>
  <c r="I15" i="5" s="1"/>
  <c r="E39" i="5"/>
  <c r="G39" i="5" s="1"/>
  <c r="E59" i="5"/>
  <c r="G59" i="5" s="1"/>
  <c r="K52" i="11"/>
  <c r="K41" i="23"/>
  <c r="J19" i="4"/>
  <c r="G53" i="4"/>
  <c r="E60" i="4"/>
  <c r="G60" i="4" s="1"/>
  <c r="E49" i="5"/>
  <c r="G49" i="5" s="1"/>
  <c r="E32" i="6"/>
  <c r="G32" i="6" s="1"/>
  <c r="E39" i="6"/>
  <c r="G39" i="6" s="1"/>
  <c r="E59" i="6"/>
  <c r="G59" i="6" s="1"/>
  <c r="E39" i="7"/>
  <c r="G39" i="7" s="1"/>
  <c r="K10" i="14"/>
  <c r="J10" i="14"/>
  <c r="G53" i="16"/>
  <c r="J29" i="19"/>
  <c r="K29" i="19"/>
  <c r="E27" i="9"/>
  <c r="E49" i="9"/>
  <c r="G49" i="9" s="1"/>
  <c r="K11" i="14"/>
  <c r="J11" i="14"/>
  <c r="K31" i="23"/>
  <c r="G31" i="23"/>
  <c r="L28" i="3"/>
  <c r="E35" i="4"/>
  <c r="G35" i="4" s="1"/>
  <c r="E33" i="5"/>
  <c r="G33" i="5" s="1"/>
  <c r="E49" i="8"/>
  <c r="G49" i="8" s="1"/>
  <c r="E34" i="8"/>
  <c r="G34" i="8" s="1"/>
  <c r="E73" i="8"/>
  <c r="G73" i="8" s="1"/>
  <c r="E58" i="8"/>
  <c r="G58" i="8" s="1"/>
  <c r="E26" i="8"/>
  <c r="G26" i="8" s="1"/>
  <c r="E48" i="8"/>
  <c r="G48" i="8" s="1"/>
  <c r="E33" i="8"/>
  <c r="G33" i="8" s="1"/>
  <c r="E39" i="8"/>
  <c r="G39" i="8" s="1"/>
  <c r="E57" i="8"/>
  <c r="G57" i="8" s="1"/>
  <c r="E12" i="8"/>
  <c r="G12" i="8" s="1"/>
  <c r="I12" i="8" s="1"/>
  <c r="E63" i="8"/>
  <c r="G63" i="8" s="1"/>
  <c r="E47" i="8"/>
  <c r="G47" i="8" s="1"/>
  <c r="E32" i="8"/>
  <c r="G32" i="8" s="1"/>
  <c r="E43" i="8"/>
  <c r="G43" i="8" s="1"/>
  <c r="E10" i="9"/>
  <c r="G10" i="9" s="1"/>
  <c r="I10" i="9" s="1"/>
  <c r="E19" i="9"/>
  <c r="G19" i="9" s="1"/>
  <c r="I19" i="9" s="1"/>
  <c r="E39" i="9"/>
  <c r="G39" i="9" s="1"/>
  <c r="E60" i="9"/>
  <c r="G60" i="9" s="1"/>
  <c r="E64" i="13"/>
  <c r="G64" i="13" s="1"/>
  <c r="E48" i="13"/>
  <c r="G48" i="13" s="1"/>
  <c r="E33" i="13"/>
  <c r="G33" i="13" s="1"/>
  <c r="E13" i="13"/>
  <c r="G13" i="13" s="1"/>
  <c r="I13" i="13" s="1"/>
  <c r="E57" i="13"/>
  <c r="G57" i="13" s="1"/>
  <c r="E32" i="13"/>
  <c r="G32" i="13" s="1"/>
  <c r="E47" i="13"/>
  <c r="G47" i="13" s="1"/>
  <c r="E17" i="13"/>
  <c r="G17" i="13" s="1"/>
  <c r="I17" i="13" s="1"/>
  <c r="E63" i="13"/>
  <c r="G63" i="13" s="1"/>
  <c r="E38" i="13"/>
  <c r="G38" i="13" s="1"/>
  <c r="E56" i="13"/>
  <c r="G56" i="13" s="1"/>
  <c r="E31" i="13"/>
  <c r="G31" i="13" s="1"/>
  <c r="E46" i="13"/>
  <c r="G46" i="13" s="1"/>
  <c r="E62" i="13"/>
  <c r="G62" i="13" s="1"/>
  <c r="E37" i="13"/>
  <c r="G37" i="13" s="1"/>
  <c r="E55" i="13"/>
  <c r="E30" i="13"/>
  <c r="G30" i="13" s="1"/>
  <c r="E21" i="13"/>
  <c r="G21" i="13" s="1"/>
  <c r="I21" i="13" s="1"/>
  <c r="E10" i="13"/>
  <c r="G10" i="13" s="1"/>
  <c r="I10" i="13" s="1"/>
  <c r="E45" i="13"/>
  <c r="G45" i="13" s="1"/>
  <c r="E16" i="13"/>
  <c r="G16" i="13" s="1"/>
  <c r="I16" i="13" s="1"/>
  <c r="E35" i="13"/>
  <c r="G35" i="13" s="1"/>
  <c r="E15" i="13"/>
  <c r="G15" i="13" s="1"/>
  <c r="I15" i="13" s="1"/>
  <c r="E44" i="13"/>
  <c r="G44" i="13" s="1"/>
  <c r="E34" i="13"/>
  <c r="G34" i="13" s="1"/>
  <c r="E23" i="13"/>
  <c r="G23" i="13" s="1"/>
  <c r="I23" i="13" s="1"/>
  <c r="E22" i="13"/>
  <c r="G22" i="13" s="1"/>
  <c r="I22" i="13" s="1"/>
  <c r="E14" i="13"/>
  <c r="G14" i="13" s="1"/>
  <c r="I14" i="13" s="1"/>
  <c r="K14" i="15"/>
  <c r="J14" i="15"/>
  <c r="E20" i="4"/>
  <c r="G20" i="4" s="1"/>
  <c r="I20" i="4" s="1"/>
  <c r="E22" i="5"/>
  <c r="G22" i="5" s="1"/>
  <c r="I22" i="5" s="1"/>
  <c r="E41" i="5"/>
  <c r="E60" i="5"/>
  <c r="G60" i="5" s="1"/>
  <c r="G5" i="6"/>
  <c r="E15" i="6"/>
  <c r="G15" i="6" s="1"/>
  <c r="I15" i="6" s="1"/>
  <c r="K44" i="9"/>
  <c r="E9" i="13"/>
  <c r="G9" i="13" s="1"/>
  <c r="I9" i="13" s="1"/>
  <c r="E60" i="13"/>
  <c r="G60" i="13" s="1"/>
  <c r="K12" i="14"/>
  <c r="K15" i="15"/>
  <c r="J15" i="15"/>
  <c r="K18" i="16"/>
  <c r="J18" i="16"/>
  <c r="E29" i="4"/>
  <c r="G29" i="4" s="1"/>
  <c r="E44" i="4"/>
  <c r="G44" i="4" s="1"/>
  <c r="E54" i="4"/>
  <c r="G54" i="4" s="1"/>
  <c r="E16" i="5"/>
  <c r="G16" i="5" s="1"/>
  <c r="I16" i="5" s="1"/>
  <c r="E38" i="6"/>
  <c r="G38" i="6" s="1"/>
  <c r="E56" i="6"/>
  <c r="G56" i="6" s="1"/>
  <c r="E22" i="6"/>
  <c r="G22" i="6" s="1"/>
  <c r="I22" i="6" s="1"/>
  <c r="E21" i="6"/>
  <c r="G21" i="6" s="1"/>
  <c r="I21" i="6" s="1"/>
  <c r="E61" i="6"/>
  <c r="G61" i="6" s="1"/>
  <c r="E45" i="6"/>
  <c r="G45" i="6" s="1"/>
  <c r="E30" i="6"/>
  <c r="G30" i="6" s="1"/>
  <c r="E10" i="6"/>
  <c r="G10" i="6" s="1"/>
  <c r="I10" i="6" s="1"/>
  <c r="E36" i="7"/>
  <c r="G36" i="7" s="1"/>
  <c r="E54" i="7"/>
  <c r="E15" i="7"/>
  <c r="G15" i="7" s="1"/>
  <c r="I15" i="7" s="1"/>
  <c r="E14" i="7"/>
  <c r="G14" i="7" s="1"/>
  <c r="I14" i="7" s="1"/>
  <c r="E59" i="7"/>
  <c r="G59" i="7" s="1"/>
  <c r="E43" i="7"/>
  <c r="G43" i="7" s="1"/>
  <c r="E28" i="7"/>
  <c r="G28" i="7" s="1"/>
  <c r="E19" i="7"/>
  <c r="G19" i="7" s="1"/>
  <c r="I19" i="7" s="1"/>
  <c r="E49" i="7"/>
  <c r="G49" i="7" s="1"/>
  <c r="E34" i="7"/>
  <c r="G34" i="7" s="1"/>
  <c r="G54" i="8"/>
  <c r="J13" i="12"/>
  <c r="E25" i="12"/>
  <c r="G5" i="12"/>
  <c r="K27" i="14"/>
  <c r="J27" i="14"/>
  <c r="E62" i="9"/>
  <c r="G62" i="9" s="1"/>
  <c r="E46" i="9"/>
  <c r="G46" i="9" s="1"/>
  <c r="E31" i="9"/>
  <c r="G31" i="9" s="1"/>
  <c r="E17" i="9"/>
  <c r="G17" i="9" s="1"/>
  <c r="I17" i="9" s="1"/>
  <c r="E52" i="9"/>
  <c r="G52" i="9" s="1"/>
  <c r="E37" i="9"/>
  <c r="G37" i="9" s="1"/>
  <c r="E22" i="9"/>
  <c r="G22" i="9" s="1"/>
  <c r="I22" i="9" s="1"/>
  <c r="E76" i="9"/>
  <c r="G76" i="9" s="1"/>
  <c r="E44" i="9"/>
  <c r="E11" i="9"/>
  <c r="G11" i="9" s="1"/>
  <c r="I11" i="9" s="1"/>
  <c r="E61" i="9"/>
  <c r="G61" i="9" s="1"/>
  <c r="E29" i="9"/>
  <c r="G29" i="9" s="1"/>
  <c r="I29" i="9" s="1"/>
  <c r="E16" i="9"/>
  <c r="G16" i="9" s="1"/>
  <c r="I16" i="9" s="1"/>
  <c r="E51" i="9"/>
  <c r="G51" i="9" s="1"/>
  <c r="E36" i="9"/>
  <c r="G36" i="9" s="1"/>
  <c r="E21" i="9"/>
  <c r="G21" i="9" s="1"/>
  <c r="I21" i="9" s="1"/>
  <c r="E42" i="9"/>
  <c r="G42" i="9" s="1"/>
  <c r="E61" i="4"/>
  <c r="G61" i="4" s="1"/>
  <c r="E10" i="5"/>
  <c r="G10" i="5" s="1"/>
  <c r="I10" i="5" s="1"/>
  <c r="E60" i="6"/>
  <c r="G60" i="6" s="1"/>
  <c r="E61" i="7"/>
  <c r="G61" i="7" s="1"/>
  <c r="E32" i="9"/>
  <c r="G32" i="9" s="1"/>
  <c r="E25" i="10"/>
  <c r="E20" i="13"/>
  <c r="G20" i="13" s="1"/>
  <c r="I20" i="13" s="1"/>
  <c r="K9" i="18"/>
  <c r="J9" i="18"/>
  <c r="E34" i="5"/>
  <c r="G34" i="5" s="1"/>
  <c r="E43" i="5"/>
  <c r="G43" i="5" s="1"/>
  <c r="E16" i="6"/>
  <c r="G16" i="6" s="1"/>
  <c r="I16" i="6" s="1"/>
  <c r="E33" i="7"/>
  <c r="G33" i="7" s="1"/>
  <c r="K71" i="8"/>
  <c r="E50" i="9"/>
  <c r="G50" i="9" s="1"/>
  <c r="K14" i="12"/>
  <c r="J14" i="12"/>
  <c r="E36" i="13"/>
  <c r="G36" i="13" s="1"/>
  <c r="J12" i="18"/>
  <c r="K12" i="18"/>
  <c r="E40" i="9"/>
  <c r="G40" i="9" s="1"/>
  <c r="K72" i="10"/>
  <c r="K13" i="11"/>
  <c r="J13" i="11"/>
  <c r="K24" i="2"/>
  <c r="G5" i="7"/>
  <c r="E20" i="9"/>
  <c r="G20" i="9" s="1"/>
  <c r="I20" i="9" s="1"/>
  <c r="K15" i="12"/>
  <c r="E49" i="13"/>
  <c r="G49" i="13" s="1"/>
  <c r="E61" i="13"/>
  <c r="G61" i="13" s="1"/>
  <c r="K14" i="14"/>
  <c r="J14" i="14"/>
  <c r="E36" i="4"/>
  <c r="G36" i="4" s="1"/>
  <c r="E55" i="4"/>
  <c r="G55" i="4" s="1"/>
  <c r="E43" i="6"/>
  <c r="G43" i="6" s="1"/>
  <c r="E24" i="7"/>
  <c r="E10" i="8"/>
  <c r="G10" i="8" s="1"/>
  <c r="I10" i="8" s="1"/>
  <c r="E13" i="9"/>
  <c r="G13" i="9" s="1"/>
  <c r="I13" i="9" s="1"/>
  <c r="E58" i="10"/>
  <c r="G58" i="10" s="1"/>
  <c r="K19" i="18"/>
  <c r="J19" i="18"/>
  <c r="E58" i="2"/>
  <c r="G58" i="2" s="1"/>
  <c r="E44" i="7"/>
  <c r="G44" i="7" s="1"/>
  <c r="E62" i="7"/>
  <c r="G62" i="7" s="1"/>
  <c r="E35" i="8"/>
  <c r="G35" i="8" s="1"/>
  <c r="E33" i="9"/>
  <c r="G33" i="9" s="1"/>
  <c r="E63" i="9"/>
  <c r="G63" i="9" s="1"/>
  <c r="E23" i="10"/>
  <c r="G23" i="10" s="1"/>
  <c r="I23" i="10" s="1"/>
  <c r="E63" i="10"/>
  <c r="G63" i="10" s="1"/>
  <c r="E47" i="10"/>
  <c r="G47" i="10" s="1"/>
  <c r="E32" i="10"/>
  <c r="G32" i="10" s="1"/>
  <c r="E12" i="10"/>
  <c r="G12" i="10" s="1"/>
  <c r="I12" i="10" s="1"/>
  <c r="E38" i="10"/>
  <c r="G38" i="10" s="1"/>
  <c r="E56" i="10"/>
  <c r="G56" i="10" s="1"/>
  <c r="E17" i="10"/>
  <c r="G17" i="10" s="1"/>
  <c r="I17" i="10" s="1"/>
  <c r="E62" i="10"/>
  <c r="G62" i="10" s="1"/>
  <c r="E46" i="10"/>
  <c r="G46" i="10" s="1"/>
  <c r="E31" i="10"/>
  <c r="G31" i="10" s="1"/>
  <c r="E22" i="10"/>
  <c r="G22" i="10" s="1"/>
  <c r="I22" i="10" s="1"/>
  <c r="E37" i="10"/>
  <c r="G37" i="10" s="1"/>
  <c r="E11" i="10"/>
  <c r="G11" i="10" s="1"/>
  <c r="I11" i="10" s="1"/>
  <c r="E55" i="10"/>
  <c r="E16" i="10"/>
  <c r="G16" i="10" s="1"/>
  <c r="I16" i="10" s="1"/>
  <c r="E36" i="10"/>
  <c r="G36" i="10" s="1"/>
  <c r="E11" i="13"/>
  <c r="G11" i="13" s="1"/>
  <c r="I11" i="13" s="1"/>
  <c r="K13" i="17"/>
  <c r="J13" i="17"/>
  <c r="K20" i="18"/>
  <c r="J20" i="18"/>
  <c r="K17" i="20"/>
  <c r="J17" i="20"/>
  <c r="G15" i="23"/>
  <c r="I15" i="23" s="1"/>
  <c r="J15" i="23" s="1"/>
  <c r="K49" i="23"/>
  <c r="E9" i="10"/>
  <c r="G9" i="10" s="1"/>
  <c r="I9" i="10" s="1"/>
  <c r="E18" i="10"/>
  <c r="G18" i="10" s="1"/>
  <c r="I18" i="10" s="1"/>
  <c r="K50" i="16"/>
  <c r="K14" i="17"/>
  <c r="J14" i="17"/>
  <c r="K23" i="18"/>
  <c r="J23" i="18"/>
  <c r="K11" i="23"/>
  <c r="E41" i="9"/>
  <c r="G41" i="9" s="1"/>
  <c r="E12" i="13"/>
  <c r="G12" i="13" s="1"/>
  <c r="I12" i="13" s="1"/>
  <c r="E27" i="13"/>
  <c r="G27" i="13" s="1"/>
  <c r="I27" i="13" s="1"/>
  <c r="G5" i="16"/>
  <c r="E50" i="16"/>
  <c r="K15" i="17"/>
  <c r="J15" i="17"/>
  <c r="E45" i="4"/>
  <c r="G45" i="4" s="1"/>
  <c r="E54" i="6"/>
  <c r="E17" i="8"/>
  <c r="G17" i="8" s="1"/>
  <c r="I17" i="8" s="1"/>
  <c r="E15" i="3"/>
  <c r="G15" i="3" s="1"/>
  <c r="E31" i="3"/>
  <c r="G31" i="3" s="1"/>
  <c r="E46" i="3"/>
  <c r="G46" i="3" s="1"/>
  <c r="E11" i="4"/>
  <c r="G11" i="4" s="1"/>
  <c r="I11" i="4" s="1"/>
  <c r="E62" i="5"/>
  <c r="G62" i="5" s="1"/>
  <c r="E56" i="8"/>
  <c r="G56" i="8" s="1"/>
  <c r="E50" i="13"/>
  <c r="G50" i="13" s="1"/>
  <c r="K18" i="17"/>
  <c r="J18" i="17"/>
  <c r="E18" i="2"/>
  <c r="G18" i="2" s="1"/>
  <c r="E35" i="5"/>
  <c r="G35" i="5" s="1"/>
  <c r="E17" i="7"/>
  <c r="G17" i="7" s="1"/>
  <c r="I17" i="7" s="1"/>
  <c r="E28" i="2"/>
  <c r="G28" i="2" s="1"/>
  <c r="E37" i="4"/>
  <c r="G37" i="4" s="1"/>
  <c r="E28" i="5"/>
  <c r="G28" i="5" s="1"/>
  <c r="E53" i="2"/>
  <c r="G53" i="2" s="1"/>
  <c r="E31" i="4"/>
  <c r="G31" i="4" s="1"/>
  <c r="E46" i="4"/>
  <c r="G46" i="4" s="1"/>
  <c r="E56" i="4"/>
  <c r="G56" i="4" s="1"/>
  <c r="E18" i="5"/>
  <c r="G18" i="5" s="1"/>
  <c r="I18" i="5" s="1"/>
  <c r="E55" i="5"/>
  <c r="G55" i="5" s="1"/>
  <c r="E11" i="6"/>
  <c r="G11" i="6" s="1"/>
  <c r="I11" i="6" s="1"/>
  <c r="E44" i="6"/>
  <c r="G44" i="6" s="1"/>
  <c r="E11" i="7"/>
  <c r="G11" i="7" s="1"/>
  <c r="I11" i="7" s="1"/>
  <c r="E35" i="7"/>
  <c r="G35" i="7" s="1"/>
  <c r="E45" i="7"/>
  <c r="G45" i="7" s="1"/>
  <c r="E18" i="8"/>
  <c r="G18" i="8" s="1"/>
  <c r="I18" i="8" s="1"/>
  <c r="E29" i="10"/>
  <c r="G29" i="10" s="1"/>
  <c r="E48" i="10"/>
  <c r="G48" i="10" s="1"/>
  <c r="E59" i="10"/>
  <c r="G59" i="10" s="1"/>
  <c r="K27" i="15"/>
  <c r="J27" i="15"/>
  <c r="E15" i="4"/>
  <c r="G15" i="4" s="1"/>
  <c r="I15" i="4" s="1"/>
  <c r="E11" i="5"/>
  <c r="G11" i="5" s="1"/>
  <c r="I11" i="5" s="1"/>
  <c r="E12" i="2"/>
  <c r="G12" i="2" s="1"/>
  <c r="E62" i="6"/>
  <c r="G62" i="6" s="1"/>
  <c r="E26" i="7"/>
  <c r="G26" i="7" s="1"/>
  <c r="E28" i="8"/>
  <c r="G28" i="8" s="1"/>
  <c r="E19" i="2"/>
  <c r="G19" i="2" s="1"/>
  <c r="E35" i="2"/>
  <c r="G35" i="2" s="1"/>
  <c r="E9" i="3"/>
  <c r="G9" i="3" s="1"/>
  <c r="E56" i="3"/>
  <c r="G56" i="3" s="1"/>
  <c r="E22" i="4"/>
  <c r="G22" i="4" s="1"/>
  <c r="I22" i="4" s="1"/>
  <c r="E18" i="6"/>
  <c r="G18" i="6" s="1"/>
  <c r="I18" i="6" s="1"/>
  <c r="E35" i="6"/>
  <c r="G35" i="6" s="1"/>
  <c r="E55" i="6"/>
  <c r="G55" i="6" s="1"/>
  <c r="E63" i="7"/>
  <c r="G63" i="7" s="1"/>
  <c r="E11" i="8"/>
  <c r="G11" i="8" s="1"/>
  <c r="I11" i="8" s="1"/>
  <c r="K41" i="8"/>
  <c r="E36" i="8"/>
  <c r="G36" i="8" s="1"/>
  <c r="E14" i="9"/>
  <c r="G14" i="9" s="1"/>
  <c r="I14" i="9" s="1"/>
  <c r="E23" i="9"/>
  <c r="G23" i="9" s="1"/>
  <c r="I23" i="9" s="1"/>
  <c r="E34" i="9"/>
  <c r="G34" i="9" s="1"/>
  <c r="E64" i="9"/>
  <c r="G64" i="9" s="1"/>
  <c r="E39" i="13"/>
  <c r="G39" i="13" s="1"/>
  <c r="E62" i="4"/>
  <c r="G62" i="4" s="1"/>
  <c r="E59" i="2"/>
  <c r="G59" i="2" s="1"/>
  <c r="K71" i="5"/>
  <c r="E45" i="8"/>
  <c r="G45" i="8" s="1"/>
  <c r="K65" i="23"/>
  <c r="E22" i="3"/>
  <c r="G22" i="3" s="1"/>
  <c r="E36" i="5"/>
  <c r="G36" i="5" s="1"/>
  <c r="E45" i="5"/>
  <c r="G45" i="5" s="1"/>
  <c r="E28" i="6"/>
  <c r="G28" i="6" s="1"/>
  <c r="E63" i="6"/>
  <c r="G63" i="6" s="1"/>
  <c r="E56" i="7"/>
  <c r="G56" i="7" s="1"/>
  <c r="E10" i="4"/>
  <c r="G10" i="4" s="1"/>
  <c r="I10" i="4" s="1"/>
  <c r="E30" i="4"/>
  <c r="G30" i="4" s="1"/>
  <c r="E16" i="4"/>
  <c r="G16" i="4" s="1"/>
  <c r="I16" i="4" s="1"/>
  <c r="E17" i="4"/>
  <c r="G17" i="4" s="1"/>
  <c r="I17" i="4" s="1"/>
  <c r="E38" i="4"/>
  <c r="G38" i="4" s="1"/>
  <c r="E19" i="5"/>
  <c r="G19" i="5" s="1"/>
  <c r="I19" i="5" s="1"/>
  <c r="E29" i="5"/>
  <c r="G29" i="5" s="1"/>
  <c r="E12" i="6"/>
  <c r="G12" i="6" s="1"/>
  <c r="I12" i="6" s="1"/>
  <c r="E18" i="7"/>
  <c r="G18" i="7" s="1"/>
  <c r="I18" i="7" s="1"/>
  <c r="K41" i="7"/>
  <c r="E19" i="8"/>
  <c r="G19" i="8" s="1"/>
  <c r="I19" i="8" s="1"/>
  <c r="E29" i="8"/>
  <c r="G29" i="8" s="1"/>
  <c r="E46" i="8"/>
  <c r="G46" i="8" s="1"/>
  <c r="E10" i="10"/>
  <c r="G10" i="10" s="1"/>
  <c r="I10" i="10" s="1"/>
  <c r="E19" i="10"/>
  <c r="G19" i="10" s="1"/>
  <c r="I19" i="10" s="1"/>
  <c r="E29" i="13"/>
  <c r="G29" i="13" s="1"/>
  <c r="K17" i="14"/>
  <c r="J17" i="14"/>
  <c r="G30" i="23"/>
  <c r="K28" i="23"/>
  <c r="E11" i="2"/>
  <c r="G11" i="2" s="1"/>
  <c r="E17" i="6"/>
  <c r="G17" i="6" s="1"/>
  <c r="I17" i="6" s="1"/>
  <c r="E44" i="2"/>
  <c r="G44" i="2" s="1"/>
  <c r="K27" i="11"/>
  <c r="J27" i="11"/>
  <c r="E52" i="13"/>
  <c r="K46" i="14"/>
  <c r="E60" i="2"/>
  <c r="G60" i="2" s="1"/>
  <c r="E12" i="4"/>
  <c r="G12" i="4" s="1"/>
  <c r="I12" i="4" s="1"/>
  <c r="E32" i="4"/>
  <c r="G32" i="4" s="1"/>
  <c r="E47" i="4"/>
  <c r="G47" i="4" s="1"/>
  <c r="E57" i="4"/>
  <c r="G57" i="4" s="1"/>
  <c r="E72" i="4"/>
  <c r="G72" i="4" s="1"/>
  <c r="E56" i="5"/>
  <c r="G56" i="5" s="1"/>
  <c r="E29" i="7"/>
  <c r="G29" i="7" s="1"/>
  <c r="E46" i="7"/>
  <c r="G46" i="7" s="1"/>
  <c r="E57" i="9"/>
  <c r="E30" i="10"/>
  <c r="G30" i="10" s="1"/>
  <c r="E39" i="10"/>
  <c r="G39" i="10" s="1"/>
  <c r="E49" i="10"/>
  <c r="G49" i="10" s="1"/>
  <c r="E60" i="10"/>
  <c r="G60" i="10" s="1"/>
  <c r="E74" i="13"/>
  <c r="G74" i="13" s="1"/>
  <c r="K27" i="17"/>
  <c r="J27" i="17"/>
  <c r="K12" i="19"/>
  <c r="J12" i="19"/>
  <c r="E42" i="2"/>
  <c r="G42" i="2" s="1"/>
  <c r="E34" i="2"/>
  <c r="G34" i="2" s="1"/>
  <c r="E26" i="6"/>
  <c r="G26" i="6" s="1"/>
  <c r="E13" i="2"/>
  <c r="G13" i="2" s="1"/>
  <c r="E36" i="6"/>
  <c r="G36" i="6" s="1"/>
  <c r="E12" i="7"/>
  <c r="G12" i="7" s="1"/>
  <c r="I12" i="7" s="1"/>
  <c r="E37" i="8"/>
  <c r="G37" i="8" s="1"/>
  <c r="E35" i="9"/>
  <c r="G35" i="9" s="1"/>
  <c r="E65" i="9"/>
  <c r="G65" i="9" s="1"/>
  <c r="K42" i="13"/>
  <c r="E40" i="13"/>
  <c r="G40" i="13" s="1"/>
  <c r="K21" i="23"/>
  <c r="E61" i="5"/>
  <c r="G61" i="5" s="1"/>
  <c r="E21" i="4"/>
  <c r="G21" i="4" s="1"/>
  <c r="I21" i="4" s="1"/>
  <c r="E54" i="5"/>
  <c r="E55" i="7"/>
  <c r="G55" i="7" s="1"/>
  <c r="E23" i="4"/>
  <c r="G23" i="4" s="1"/>
  <c r="I23" i="4" s="1"/>
  <c r="E37" i="5"/>
  <c r="G37" i="5" s="1"/>
  <c r="E46" i="5"/>
  <c r="G46" i="5" s="1"/>
  <c r="E73" i="5"/>
  <c r="G73" i="5" s="1"/>
  <c r="E19" i="6"/>
  <c r="G19" i="6" s="1"/>
  <c r="I19" i="6" s="1"/>
  <c r="E29" i="6"/>
  <c r="G29" i="6" s="1"/>
  <c r="E46" i="6"/>
  <c r="G46" i="6" s="1"/>
  <c r="E57" i="7"/>
  <c r="G57" i="7" s="1"/>
  <c r="E15" i="9"/>
  <c r="G15" i="9" s="1"/>
  <c r="I15" i="9" s="1"/>
  <c r="E24" i="9"/>
  <c r="G24" i="9" s="1"/>
  <c r="I24" i="9" s="1"/>
  <c r="E26" i="2"/>
  <c r="G26" i="2" s="1"/>
  <c r="E52" i="2"/>
  <c r="E17" i="5"/>
  <c r="G17" i="5" s="1"/>
  <c r="I17" i="5" s="1"/>
  <c r="E34" i="6"/>
  <c r="G34" i="6" s="1"/>
  <c r="E29" i="2"/>
  <c r="G29" i="2" s="1"/>
  <c r="E54" i="2"/>
  <c r="G54" i="2" s="1"/>
  <c r="E20" i="2"/>
  <c r="G20" i="2" s="1"/>
  <c r="E36" i="2"/>
  <c r="G36" i="2" s="1"/>
  <c r="E14" i="2"/>
  <c r="G14" i="2" s="1"/>
  <c r="E30" i="2"/>
  <c r="G30" i="2" s="1"/>
  <c r="E45" i="2"/>
  <c r="G45" i="2" s="1"/>
  <c r="E61" i="2"/>
  <c r="G61" i="2" s="1"/>
  <c r="E30" i="5"/>
  <c r="G30" i="5" s="1"/>
  <c r="E57" i="6"/>
  <c r="G57" i="6" s="1"/>
  <c r="E37" i="7"/>
  <c r="G37" i="7" s="1"/>
  <c r="E30" i="8"/>
  <c r="G30" i="8" s="1"/>
  <c r="K74" i="9"/>
  <c r="K42" i="11"/>
  <c r="K40" i="17"/>
  <c r="E44" i="5"/>
  <c r="G44" i="5" s="1"/>
  <c r="E17" i="3"/>
  <c r="G17" i="3" s="1"/>
  <c r="E18" i="4"/>
  <c r="G18" i="4" s="1"/>
  <c r="I18" i="4" s="1"/>
  <c r="E40" i="4"/>
  <c r="E58" i="4"/>
  <c r="G58" i="4" s="1"/>
  <c r="E20" i="5"/>
  <c r="G20" i="5" s="1"/>
  <c r="I20" i="5" s="1"/>
  <c r="E57" i="5"/>
  <c r="G57" i="5" s="1"/>
  <c r="E13" i="6"/>
  <c r="G13" i="6" s="1"/>
  <c r="I13" i="6" s="1"/>
  <c r="K71" i="6"/>
  <c r="E30" i="7"/>
  <c r="G30" i="7" s="1"/>
  <c r="E13" i="8"/>
  <c r="G13" i="8" s="1"/>
  <c r="I13" i="8" s="1"/>
  <c r="E20" i="8"/>
  <c r="G20" i="8" s="1"/>
  <c r="I20" i="8" s="1"/>
  <c r="E59" i="8"/>
  <c r="G59" i="8" s="1"/>
  <c r="E47" i="9"/>
  <c r="G47" i="9" s="1"/>
  <c r="E20" i="10"/>
  <c r="G20" i="10" s="1"/>
  <c r="I20" i="10" s="1"/>
  <c r="E75" i="13"/>
  <c r="G75" i="13" s="1"/>
  <c r="J21" i="14"/>
  <c r="E29" i="16"/>
  <c r="G29" i="16" s="1"/>
  <c r="G16" i="23"/>
  <c r="I16" i="23" s="1"/>
  <c r="J16" i="23" s="1"/>
  <c r="K14" i="19"/>
  <c r="J14" i="19"/>
  <c r="G36" i="23"/>
  <c r="K11" i="21"/>
  <c r="J11" i="21"/>
  <c r="K12" i="21"/>
  <c r="J12" i="21"/>
  <c r="G18" i="23"/>
  <c r="I18" i="23" s="1"/>
  <c r="J18" i="23" s="1"/>
  <c r="K46" i="19"/>
  <c r="G37" i="23"/>
  <c r="E25" i="15"/>
  <c r="E23" i="16"/>
  <c r="G23" i="16" s="1"/>
  <c r="I23" i="16" s="1"/>
  <c r="E12" i="16"/>
  <c r="G12" i="16" s="1"/>
  <c r="I12" i="16" s="1"/>
  <c r="E68" i="16"/>
  <c r="G68" i="16" s="1"/>
  <c r="E57" i="16"/>
  <c r="G57" i="16" s="1"/>
  <c r="E32" i="16"/>
  <c r="G32" i="16" s="1"/>
  <c r="E17" i="16"/>
  <c r="G17" i="16" s="1"/>
  <c r="I17" i="16" s="1"/>
  <c r="E47" i="16"/>
  <c r="G47" i="16" s="1"/>
  <c r="E38" i="16"/>
  <c r="G38" i="16" s="1"/>
  <c r="E22" i="16"/>
  <c r="G22" i="16" s="1"/>
  <c r="I22" i="16" s="1"/>
  <c r="E11" i="16"/>
  <c r="G11" i="16" s="1"/>
  <c r="I11" i="16" s="1"/>
  <c r="E56" i="16"/>
  <c r="G56" i="16" s="1"/>
  <c r="E31" i="16"/>
  <c r="G31" i="16" s="1"/>
  <c r="E46" i="16"/>
  <c r="G46" i="16" s="1"/>
  <c r="E16" i="16"/>
  <c r="G16" i="16" s="1"/>
  <c r="I16" i="16" s="1"/>
  <c r="E62" i="16"/>
  <c r="G62" i="16" s="1"/>
  <c r="E37" i="16"/>
  <c r="G37" i="16" s="1"/>
  <c r="E55" i="16"/>
  <c r="G55" i="16" s="1"/>
  <c r="E30" i="16"/>
  <c r="G30" i="16" s="1"/>
  <c r="E21" i="16"/>
  <c r="G21" i="16" s="1"/>
  <c r="I21" i="16" s="1"/>
  <c r="E10" i="16"/>
  <c r="G10" i="16" s="1"/>
  <c r="I10" i="16" s="1"/>
  <c r="E42" i="16"/>
  <c r="G42" i="16" s="1"/>
  <c r="K13" i="21"/>
  <c r="J13" i="21"/>
  <c r="G19" i="23"/>
  <c r="I19" i="23" s="1"/>
  <c r="J19" i="23" s="1"/>
  <c r="E9" i="16"/>
  <c r="G9" i="16" s="1"/>
  <c r="I9" i="16" s="1"/>
  <c r="E19" i="16"/>
  <c r="G19" i="16" s="1"/>
  <c r="I19" i="16" s="1"/>
  <c r="E57" i="18"/>
  <c r="G57" i="18" s="1"/>
  <c r="E68" i="18"/>
  <c r="G68" i="18" s="1"/>
  <c r="E32" i="18"/>
  <c r="G32" i="18" s="1"/>
  <c r="E47" i="18"/>
  <c r="G47" i="18" s="1"/>
  <c r="E17" i="18"/>
  <c r="G17" i="18" s="1"/>
  <c r="I17" i="18" s="1"/>
  <c r="E38" i="18"/>
  <c r="G38" i="18" s="1"/>
  <c r="E56" i="18"/>
  <c r="G56" i="18" s="1"/>
  <c r="E22" i="18"/>
  <c r="G22" i="18" s="1"/>
  <c r="I22" i="18" s="1"/>
  <c r="E11" i="18"/>
  <c r="G11" i="18" s="1"/>
  <c r="I11" i="18" s="1"/>
  <c r="E31" i="18"/>
  <c r="G31" i="18" s="1"/>
  <c r="E46" i="18"/>
  <c r="G46" i="18" s="1"/>
  <c r="E62" i="18"/>
  <c r="G62" i="18" s="1"/>
  <c r="E37" i="18"/>
  <c r="G37" i="18" s="1"/>
  <c r="E16" i="18"/>
  <c r="G16" i="18" s="1"/>
  <c r="I16" i="18" s="1"/>
  <c r="E55" i="18"/>
  <c r="G55" i="18" s="1"/>
  <c r="E30" i="18"/>
  <c r="G30" i="18" s="1"/>
  <c r="E21" i="18"/>
  <c r="G21" i="18" s="1"/>
  <c r="I21" i="18" s="1"/>
  <c r="E10" i="18"/>
  <c r="G10" i="18" s="1"/>
  <c r="I10" i="18" s="1"/>
  <c r="E45" i="18"/>
  <c r="G45" i="18" s="1"/>
  <c r="E61" i="18"/>
  <c r="G61" i="18" s="1"/>
  <c r="E36" i="18"/>
  <c r="G36" i="18" s="1"/>
  <c r="E15" i="18"/>
  <c r="G15" i="18" s="1"/>
  <c r="I15" i="18" s="1"/>
  <c r="E54" i="18"/>
  <c r="G54" i="18" s="1"/>
  <c r="E44" i="18"/>
  <c r="G44" i="18" s="1"/>
  <c r="E60" i="18"/>
  <c r="G60" i="18" s="1"/>
  <c r="K12" i="20"/>
  <c r="J12" i="20"/>
  <c r="E41" i="22"/>
  <c r="K66" i="16"/>
  <c r="K13" i="20"/>
  <c r="J13" i="20"/>
  <c r="E14" i="22"/>
  <c r="G14" i="22" s="1"/>
  <c r="I14" i="22" s="1"/>
  <c r="E53" i="22"/>
  <c r="G53" i="22" s="1"/>
  <c r="E43" i="22"/>
  <c r="G43" i="22" s="1"/>
  <c r="E59" i="22"/>
  <c r="G59" i="22" s="1"/>
  <c r="E34" i="22"/>
  <c r="G34" i="22" s="1"/>
  <c r="E19" i="22"/>
  <c r="G19" i="22" s="1"/>
  <c r="I19" i="22" s="1"/>
  <c r="E52" i="22"/>
  <c r="E24" i="22"/>
  <c r="G24" i="22" s="1"/>
  <c r="I24" i="22" s="1"/>
  <c r="E13" i="22"/>
  <c r="G13" i="22" s="1"/>
  <c r="I13" i="22" s="1"/>
  <c r="E58" i="22"/>
  <c r="G58" i="22" s="1"/>
  <c r="E33" i="22"/>
  <c r="G33" i="22" s="1"/>
  <c r="E18" i="22"/>
  <c r="G18" i="22" s="1"/>
  <c r="I18" i="22" s="1"/>
  <c r="E39" i="22"/>
  <c r="G39" i="22" s="1"/>
  <c r="E23" i="22"/>
  <c r="G23" i="22" s="1"/>
  <c r="I23" i="22" s="1"/>
  <c r="E12" i="22"/>
  <c r="G12" i="22" s="1"/>
  <c r="I12" i="22" s="1"/>
  <c r="E57" i="22"/>
  <c r="G57" i="22" s="1"/>
  <c r="E32" i="22"/>
  <c r="G32" i="22" s="1"/>
  <c r="E47" i="22"/>
  <c r="G47" i="22" s="1"/>
  <c r="E17" i="22"/>
  <c r="G17" i="22" s="1"/>
  <c r="I17" i="22" s="1"/>
  <c r="E38" i="22"/>
  <c r="G38" i="22" s="1"/>
  <c r="E67" i="22"/>
  <c r="G67" i="22" s="1"/>
  <c r="E56" i="22"/>
  <c r="G56" i="22" s="1"/>
  <c r="E31" i="22"/>
  <c r="G31" i="22" s="1"/>
  <c r="E22" i="22"/>
  <c r="G22" i="22" s="1"/>
  <c r="I22" i="22" s="1"/>
  <c r="E11" i="22"/>
  <c r="G11" i="22" s="1"/>
  <c r="I11" i="22" s="1"/>
  <c r="E46" i="22"/>
  <c r="G46" i="22" s="1"/>
  <c r="E37" i="22"/>
  <c r="G37" i="22" s="1"/>
  <c r="E16" i="22"/>
  <c r="G16" i="22" s="1"/>
  <c r="I16" i="22" s="1"/>
  <c r="E55" i="22"/>
  <c r="G55" i="22" s="1"/>
  <c r="E30" i="22"/>
  <c r="G30" i="22" s="1"/>
  <c r="E21" i="22"/>
  <c r="G21" i="22" s="1"/>
  <c r="I21" i="22" s="1"/>
  <c r="E10" i="22"/>
  <c r="G10" i="22" s="1"/>
  <c r="I10" i="22" s="1"/>
  <c r="E45" i="22"/>
  <c r="G45" i="22" s="1"/>
  <c r="E36" i="22"/>
  <c r="G36" i="22" s="1"/>
  <c r="E61" i="22"/>
  <c r="G61" i="22" s="1"/>
  <c r="E15" i="22"/>
  <c r="G15" i="22" s="1"/>
  <c r="I15" i="22" s="1"/>
  <c r="E54" i="22"/>
  <c r="G54" i="22" s="1"/>
  <c r="E28" i="22"/>
  <c r="G28" i="22" s="1"/>
  <c r="I28" i="22" s="1"/>
  <c r="G20" i="23"/>
  <c r="I20" i="23" s="1"/>
  <c r="J20" i="23" s="1"/>
  <c r="E48" i="18"/>
  <c r="G48" i="18" s="1"/>
  <c r="K14" i="20"/>
  <c r="J14" i="20"/>
  <c r="K67" i="20"/>
  <c r="E9" i="22"/>
  <c r="G9" i="22" s="1"/>
  <c r="I9" i="22" s="1"/>
  <c r="E54" i="16"/>
  <c r="G54" i="16" s="1"/>
  <c r="K19" i="19"/>
  <c r="J19" i="19"/>
  <c r="K16" i="21"/>
  <c r="J16" i="21"/>
  <c r="E43" i="16"/>
  <c r="G43" i="16" s="1"/>
  <c r="K20" i="19"/>
  <c r="J20" i="19"/>
  <c r="E44" i="22"/>
  <c r="G44" i="22" s="1"/>
  <c r="E33" i="16"/>
  <c r="G33" i="16" s="1"/>
  <c r="K17" i="21"/>
  <c r="J17" i="21"/>
  <c r="E20" i="16"/>
  <c r="G20" i="16" s="1"/>
  <c r="I20" i="16" s="1"/>
  <c r="K18" i="20"/>
  <c r="J18" i="20"/>
  <c r="E20" i="22"/>
  <c r="G20" i="22" s="1"/>
  <c r="I20" i="22" s="1"/>
  <c r="G23" i="23"/>
  <c r="I23" i="23" s="1"/>
  <c r="J23" i="23" s="1"/>
  <c r="E25" i="18"/>
  <c r="K19" i="20"/>
  <c r="J19" i="20"/>
  <c r="E26" i="22"/>
  <c r="E44" i="16"/>
  <c r="G44" i="16" s="1"/>
  <c r="E13" i="18"/>
  <c r="G13" i="18" s="1"/>
  <c r="I13" i="18" s="1"/>
  <c r="K22" i="21"/>
  <c r="J22" i="21"/>
  <c r="G24" i="23"/>
  <c r="I24" i="23" s="1"/>
  <c r="J24" i="23" s="1"/>
  <c r="E75" i="14"/>
  <c r="K23" i="21"/>
  <c r="J23" i="21"/>
  <c r="G35" i="23"/>
  <c r="E13" i="16"/>
  <c r="G13" i="16" s="1"/>
  <c r="I13" i="16" s="1"/>
  <c r="E34" i="16"/>
  <c r="G34" i="16" s="1"/>
  <c r="E27" i="18"/>
  <c r="G27" i="18" s="1"/>
  <c r="I27" i="18" s="1"/>
  <c r="E53" i="18"/>
  <c r="K23" i="20"/>
  <c r="J23" i="20"/>
  <c r="J18" i="15"/>
  <c r="K24" i="20"/>
  <c r="J24" i="20"/>
  <c r="K24" i="21"/>
  <c r="J24" i="21"/>
  <c r="K40" i="15"/>
  <c r="J24" i="19"/>
  <c r="G10" i="23"/>
  <c r="I10" i="23" s="1"/>
  <c r="J10" i="23" s="1"/>
  <c r="E40" i="11"/>
  <c r="G40" i="11" s="1"/>
  <c r="E49" i="11"/>
  <c r="G49" i="11" s="1"/>
  <c r="E16" i="15"/>
  <c r="G16" i="15" s="1"/>
  <c r="I16" i="15" s="1"/>
  <c r="E23" i="15"/>
  <c r="G23" i="15" s="1"/>
  <c r="I23" i="15" s="1"/>
  <c r="E12" i="15"/>
  <c r="G12" i="15" s="1"/>
  <c r="I12" i="15" s="1"/>
  <c r="E68" i="15"/>
  <c r="G68" i="15" s="1"/>
  <c r="E57" i="15"/>
  <c r="G57" i="15" s="1"/>
  <c r="E32" i="15"/>
  <c r="G32" i="15" s="1"/>
  <c r="E47" i="15"/>
  <c r="G47" i="15" s="1"/>
  <c r="E17" i="15"/>
  <c r="G17" i="15" s="1"/>
  <c r="I17" i="15" s="1"/>
  <c r="E38" i="15"/>
  <c r="G38" i="15" s="1"/>
  <c r="E22" i="15"/>
  <c r="G22" i="15" s="1"/>
  <c r="I22" i="15" s="1"/>
  <c r="E11" i="15"/>
  <c r="G11" i="15" s="1"/>
  <c r="I11" i="15" s="1"/>
  <c r="E56" i="15"/>
  <c r="G56" i="15" s="1"/>
  <c r="E31" i="15"/>
  <c r="G31" i="15" s="1"/>
  <c r="E46" i="15"/>
  <c r="G46" i="15" s="1"/>
  <c r="E37" i="15"/>
  <c r="G37" i="15" s="1"/>
  <c r="E62" i="15"/>
  <c r="G62" i="15" s="1"/>
  <c r="E30" i="15"/>
  <c r="G30" i="15" s="1"/>
  <c r="E21" i="15"/>
  <c r="G21" i="15" s="1"/>
  <c r="I21" i="15" s="1"/>
  <c r="E10" i="15"/>
  <c r="G10" i="15" s="1"/>
  <c r="I10" i="15" s="1"/>
  <c r="E55" i="15"/>
  <c r="G55" i="15" s="1"/>
  <c r="E45" i="15"/>
  <c r="G45" i="15" s="1"/>
  <c r="E53" i="15"/>
  <c r="E45" i="16"/>
  <c r="G45" i="16" s="1"/>
  <c r="E14" i="18"/>
  <c r="G14" i="18" s="1"/>
  <c r="I14" i="18" s="1"/>
  <c r="K25" i="19"/>
  <c r="J25" i="19"/>
  <c r="E49" i="22"/>
  <c r="E31" i="12"/>
  <c r="G31" i="12" s="1"/>
  <c r="K52" i="13"/>
  <c r="E9" i="15"/>
  <c r="G9" i="15" s="1"/>
  <c r="I9" i="15" s="1"/>
  <c r="E19" i="15"/>
  <c r="G19" i="15" s="1"/>
  <c r="I19" i="15" s="1"/>
  <c r="E42" i="15"/>
  <c r="G42" i="15" s="1"/>
  <c r="E29" i="18"/>
  <c r="G29" i="18" s="1"/>
  <c r="G11" i="23"/>
  <c r="I11" i="23" s="1"/>
  <c r="J11" i="23" s="1"/>
  <c r="E19" i="11"/>
  <c r="G19" i="11" s="1"/>
  <c r="I19" i="11" s="1"/>
  <c r="K56" i="14"/>
  <c r="K75" i="14"/>
  <c r="E35" i="16"/>
  <c r="G35" i="16" s="1"/>
  <c r="E58" i="16"/>
  <c r="G58" i="16" s="1"/>
  <c r="E42" i="18"/>
  <c r="G42" i="18" s="1"/>
  <c r="E34" i="11"/>
  <c r="G34" i="11" s="1"/>
  <c r="E60" i="11"/>
  <c r="G60" i="11" s="1"/>
  <c r="K18" i="14"/>
  <c r="J18" i="14"/>
  <c r="K66" i="15"/>
  <c r="E14" i="16"/>
  <c r="G14" i="16" s="1"/>
  <c r="I14" i="16" s="1"/>
  <c r="E19" i="17"/>
  <c r="G19" i="17" s="1"/>
  <c r="I19" i="17" s="1"/>
  <c r="E68" i="17"/>
  <c r="G68" i="17" s="1"/>
  <c r="E23" i="17"/>
  <c r="G23" i="17" s="1"/>
  <c r="I23" i="17" s="1"/>
  <c r="E12" i="17"/>
  <c r="G12" i="17" s="1"/>
  <c r="I12" i="17" s="1"/>
  <c r="E57" i="17"/>
  <c r="G57" i="17" s="1"/>
  <c r="E32" i="17"/>
  <c r="G32" i="17" s="1"/>
  <c r="E47" i="17"/>
  <c r="G47" i="17" s="1"/>
  <c r="E17" i="17"/>
  <c r="G17" i="17" s="1"/>
  <c r="I17" i="17" s="1"/>
  <c r="E38" i="17"/>
  <c r="G38" i="17" s="1"/>
  <c r="E22" i="17"/>
  <c r="G22" i="17" s="1"/>
  <c r="I22" i="17" s="1"/>
  <c r="E11" i="17"/>
  <c r="G11" i="17" s="1"/>
  <c r="I11" i="17" s="1"/>
  <c r="E56" i="17"/>
  <c r="G56" i="17" s="1"/>
  <c r="E31" i="17"/>
  <c r="G31" i="17" s="1"/>
  <c r="E46" i="17"/>
  <c r="G46" i="17" s="1"/>
  <c r="E62" i="17"/>
  <c r="G62" i="17" s="1"/>
  <c r="E16" i="17"/>
  <c r="G16" i="17" s="1"/>
  <c r="I16" i="17" s="1"/>
  <c r="E37" i="17"/>
  <c r="G37" i="17" s="1"/>
  <c r="E55" i="17"/>
  <c r="G55" i="17" s="1"/>
  <c r="E30" i="17"/>
  <c r="G30" i="17" s="1"/>
  <c r="E21" i="17"/>
  <c r="G21" i="17" s="1"/>
  <c r="I21" i="17" s="1"/>
  <c r="E10" i="17"/>
  <c r="G10" i="17" s="1"/>
  <c r="I10" i="17" s="1"/>
  <c r="E61" i="17"/>
  <c r="G61" i="17" s="1"/>
  <c r="E53" i="17"/>
  <c r="K22" i="19"/>
  <c r="J22" i="19"/>
  <c r="K41" i="21"/>
  <c r="G12" i="23"/>
  <c r="I12" i="23" s="1"/>
  <c r="J12" i="23" s="1"/>
  <c r="G5" i="11"/>
  <c r="E14" i="11"/>
  <c r="G14" i="11" s="1"/>
  <c r="I14" i="11" s="1"/>
  <c r="K19" i="14"/>
  <c r="J19" i="14"/>
  <c r="E9" i="17"/>
  <c r="G9" i="17" s="1"/>
  <c r="I9" i="17" s="1"/>
  <c r="E42" i="17"/>
  <c r="G42" i="17" s="1"/>
  <c r="K9" i="19"/>
  <c r="J9" i="19"/>
  <c r="E55" i="11"/>
  <c r="E50" i="11"/>
  <c r="G50" i="11" s="1"/>
  <c r="E74" i="11"/>
  <c r="G74" i="11" s="1"/>
  <c r="E54" i="15"/>
  <c r="G54" i="15" s="1"/>
  <c r="G32" i="23"/>
  <c r="E9" i="11"/>
  <c r="G9" i="11" s="1"/>
  <c r="I9" i="11" s="1"/>
  <c r="E29" i="14"/>
  <c r="E33" i="15"/>
  <c r="G33" i="15" s="1"/>
  <c r="E43" i="15"/>
  <c r="G43" i="15" s="1"/>
  <c r="E36" i="16"/>
  <c r="G36" i="16" s="1"/>
  <c r="K66" i="17"/>
  <c r="E61" i="11"/>
  <c r="G61" i="11" s="1"/>
  <c r="E61" i="12"/>
  <c r="G61" i="12" s="1"/>
  <c r="E45" i="12"/>
  <c r="G45" i="12" s="1"/>
  <c r="E30" i="12"/>
  <c r="G30" i="12" s="1"/>
  <c r="E74" i="12"/>
  <c r="G74" i="12" s="1"/>
  <c r="E59" i="12"/>
  <c r="G59" i="12" s="1"/>
  <c r="E34" i="12"/>
  <c r="G34" i="12" s="1"/>
  <c r="E49" i="12"/>
  <c r="G49" i="12" s="1"/>
  <c r="E58" i="12"/>
  <c r="G58" i="12" s="1"/>
  <c r="E33" i="12"/>
  <c r="G33" i="12" s="1"/>
  <c r="E18" i="12"/>
  <c r="G18" i="12" s="1"/>
  <c r="I18" i="12" s="1"/>
  <c r="E64" i="12"/>
  <c r="G64" i="12" s="1"/>
  <c r="E57" i="12"/>
  <c r="G57" i="12" s="1"/>
  <c r="E32" i="12"/>
  <c r="G32" i="12" s="1"/>
  <c r="E25" i="13"/>
  <c r="E20" i="15"/>
  <c r="G20" i="15" s="1"/>
  <c r="I20" i="15" s="1"/>
  <c r="E27" i="16"/>
  <c r="G27" i="16" s="1"/>
  <c r="I27" i="16" s="1"/>
  <c r="E59" i="16"/>
  <c r="G59" i="16" s="1"/>
  <c r="E18" i="18"/>
  <c r="G18" i="18" s="1"/>
  <c r="I18" i="18" s="1"/>
  <c r="E43" i="18"/>
  <c r="G43" i="18" s="1"/>
  <c r="K33" i="19"/>
  <c r="J33" i="19"/>
  <c r="E35" i="22"/>
  <c r="G35" i="22" s="1"/>
  <c r="G33" i="23"/>
  <c r="E20" i="11"/>
  <c r="G20" i="11" s="1"/>
  <c r="I20" i="11" s="1"/>
  <c r="E35" i="11"/>
  <c r="G35" i="11" s="1"/>
  <c r="E44" i="11"/>
  <c r="G44" i="11" s="1"/>
  <c r="E22" i="12"/>
  <c r="G22" i="12" s="1"/>
  <c r="I22" i="12" s="1"/>
  <c r="E40" i="12"/>
  <c r="G40" i="12" s="1"/>
  <c r="E15" i="16"/>
  <c r="G15" i="16" s="1"/>
  <c r="I15" i="16" s="1"/>
  <c r="E48" i="16"/>
  <c r="G48" i="16" s="1"/>
  <c r="E54" i="17"/>
  <c r="G54" i="17" s="1"/>
  <c r="G14" i="23"/>
  <c r="I14" i="23" s="1"/>
  <c r="J14" i="23" s="1"/>
  <c r="E50" i="12"/>
  <c r="G50" i="12" s="1"/>
  <c r="K72" i="13"/>
  <c r="E43" i="17"/>
  <c r="G43" i="17" s="1"/>
  <c r="E74" i="19"/>
  <c r="G74" i="19" s="1"/>
  <c r="E64" i="19"/>
  <c r="G64" i="19" s="1"/>
  <c r="E48" i="19"/>
  <c r="G48" i="19" s="1"/>
  <c r="E31" i="19"/>
  <c r="E69" i="20"/>
  <c r="G69" i="20" s="1"/>
  <c r="E40" i="19"/>
  <c r="G40" i="19" s="1"/>
  <c r="E56" i="19"/>
  <c r="E65" i="19"/>
  <c r="G65" i="19" s="1"/>
  <c r="E49" i="20"/>
  <c r="G49" i="20" s="1"/>
  <c r="E49" i="19"/>
  <c r="G49" i="19" s="1"/>
  <c r="E59" i="20"/>
  <c r="G59" i="20" s="1"/>
  <c r="K66" i="18"/>
  <c r="E59" i="19"/>
  <c r="E41" i="19"/>
  <c r="G41" i="19" s="1"/>
  <c r="E66" i="19"/>
  <c r="G66" i="19" s="1"/>
  <c r="G5" i="20"/>
  <c r="E51" i="20"/>
  <c r="E15" i="19"/>
  <c r="G15" i="19" s="1"/>
  <c r="I15" i="19" s="1"/>
  <c r="E26" i="19"/>
  <c r="G26" i="19" s="1"/>
  <c r="I26" i="19" s="1"/>
  <c r="E50" i="19"/>
  <c r="G50" i="19" s="1"/>
  <c r="E9" i="20"/>
  <c r="G9" i="20" s="1"/>
  <c r="I9" i="20" s="1"/>
  <c r="E20" i="20"/>
  <c r="G20" i="20" s="1"/>
  <c r="I20" i="20" s="1"/>
  <c r="E28" i="20"/>
  <c r="G28" i="20" s="1"/>
  <c r="I28" i="20" s="1"/>
  <c r="E44" i="20"/>
  <c r="G44" i="20" s="1"/>
  <c r="E60" i="20"/>
  <c r="G60" i="20" s="1"/>
  <c r="E41" i="21"/>
  <c r="G52" i="23"/>
  <c r="E35" i="19"/>
  <c r="G35" i="19" s="1"/>
  <c r="E60" i="19"/>
  <c r="G60" i="19" s="1"/>
  <c r="E19" i="21"/>
  <c r="G19" i="21" s="1"/>
  <c r="I19" i="21" s="1"/>
  <c r="E49" i="21"/>
  <c r="G49" i="21" s="1"/>
  <c r="E15" i="20"/>
  <c r="G15" i="20" s="1"/>
  <c r="I15" i="20" s="1"/>
  <c r="E54" i="20"/>
  <c r="E34" i="21"/>
  <c r="G34" i="21" s="1"/>
  <c r="E59" i="21"/>
  <c r="G59" i="21" s="1"/>
  <c r="E24" i="14"/>
  <c r="G24" i="14" s="1"/>
  <c r="I24" i="14" s="1"/>
  <c r="E48" i="14"/>
  <c r="G48" i="14" s="1"/>
  <c r="E71" i="14"/>
  <c r="G71" i="14" s="1"/>
  <c r="E10" i="19"/>
  <c r="G10" i="19" s="1"/>
  <c r="I10" i="19" s="1"/>
  <c r="E21" i="19"/>
  <c r="G21" i="19" s="1"/>
  <c r="I21" i="19" s="1"/>
  <c r="E42" i="19"/>
  <c r="G42" i="19" s="1"/>
  <c r="E67" i="19"/>
  <c r="G67" i="19" s="1"/>
  <c r="E36" i="20"/>
  <c r="G36" i="20" s="1"/>
  <c r="E43" i="21"/>
  <c r="G43" i="21" s="1"/>
  <c r="E41" i="23"/>
  <c r="E14" i="21"/>
  <c r="G14" i="21" s="1"/>
  <c r="I14" i="21" s="1"/>
  <c r="K49" i="22"/>
  <c r="E34" i="23"/>
  <c r="G34" i="23" s="1"/>
  <c r="E51" i="19"/>
  <c r="G51" i="19" s="1"/>
  <c r="E61" i="19"/>
  <c r="G61" i="19" s="1"/>
  <c r="E10" i="20"/>
  <c r="G10" i="20" s="1"/>
  <c r="I10" i="20" s="1"/>
  <c r="E21" i="20"/>
  <c r="G21" i="20" s="1"/>
  <c r="I21" i="20" s="1"/>
  <c r="E45" i="20"/>
  <c r="G45" i="20" s="1"/>
  <c r="E61" i="20"/>
  <c r="G61" i="20" s="1"/>
  <c r="E26" i="23"/>
  <c r="E43" i="23"/>
  <c r="G43" i="23" s="1"/>
  <c r="J13" i="14"/>
  <c r="E16" i="19"/>
  <c r="G16" i="19" s="1"/>
  <c r="I16" i="19" s="1"/>
  <c r="E27" i="19"/>
  <c r="G27" i="19" s="1"/>
  <c r="I27" i="19" s="1"/>
  <c r="E36" i="19"/>
  <c r="G36" i="19" s="1"/>
  <c r="E30" i="20"/>
  <c r="G30" i="20" s="1"/>
  <c r="E57" i="21"/>
  <c r="G57" i="21" s="1"/>
  <c r="E18" i="21"/>
  <c r="G18" i="21" s="1"/>
  <c r="I18" i="21" s="1"/>
  <c r="E21" i="23"/>
  <c r="G21" i="23" s="1"/>
  <c r="I21" i="23" s="1"/>
  <c r="J21" i="23" s="1"/>
  <c r="E68" i="19"/>
  <c r="G68" i="19" s="1"/>
  <c r="E55" i="20"/>
  <c r="G55" i="20" s="1"/>
  <c r="E9" i="21"/>
  <c r="G9" i="21" s="1"/>
  <c r="I9" i="21" s="1"/>
  <c r="E20" i="21"/>
  <c r="G20" i="21" s="1"/>
  <c r="I20" i="21" s="1"/>
  <c r="E35" i="21"/>
  <c r="G35" i="21" s="1"/>
  <c r="E60" i="21"/>
  <c r="G60" i="21" s="1"/>
  <c r="E43" i="19"/>
  <c r="G43" i="19" s="1"/>
  <c r="E16" i="20"/>
  <c r="G16" i="20" s="1"/>
  <c r="I16" i="20" s="1"/>
  <c r="E37" i="20"/>
  <c r="G37" i="20" s="1"/>
  <c r="E28" i="21"/>
  <c r="G28" i="21" s="1"/>
  <c r="I28" i="21" s="1"/>
  <c r="E44" i="21"/>
  <c r="G44" i="21" s="1"/>
  <c r="E17" i="23"/>
  <c r="G17" i="23" s="1"/>
  <c r="I17" i="23" s="1"/>
  <c r="J17" i="23" s="1"/>
  <c r="E28" i="23"/>
  <c r="G28" i="23" s="1"/>
  <c r="I28" i="23" s="1"/>
  <c r="J28" i="23" s="1"/>
  <c r="E25" i="14"/>
  <c r="G25" i="14" s="1"/>
  <c r="I25" i="14" s="1"/>
  <c r="E34" i="14"/>
  <c r="G34" i="14" s="1"/>
  <c r="G59" i="14"/>
  <c r="E11" i="19"/>
  <c r="G11" i="19" s="1"/>
  <c r="I11" i="19" s="1"/>
  <c r="E52" i="19"/>
  <c r="G52" i="19" s="1"/>
  <c r="E37" i="19"/>
  <c r="G37" i="19" s="1"/>
  <c r="E62" i="19"/>
  <c r="G62" i="19" s="1"/>
  <c r="E46" i="20"/>
  <c r="G46" i="20" s="1"/>
  <c r="E62" i="20"/>
  <c r="G62" i="20" s="1"/>
  <c r="E15" i="21"/>
  <c r="G15" i="21" s="1"/>
  <c r="I15" i="21" s="1"/>
  <c r="E54" i="21"/>
  <c r="E53" i="23"/>
  <c r="G53" i="23" s="1"/>
  <c r="E45" i="23"/>
  <c r="G45" i="23" s="1"/>
  <c r="E38" i="23"/>
  <c r="G38" i="23" s="1"/>
  <c r="E57" i="23"/>
  <c r="G57" i="23" s="1"/>
  <c r="E61" i="23"/>
  <c r="G61" i="23" s="1"/>
  <c r="E56" i="23"/>
  <c r="G56" i="23" s="1"/>
  <c r="E60" i="23"/>
  <c r="G60" i="23" s="1"/>
  <c r="E55" i="23"/>
  <c r="G55" i="23" s="1"/>
  <c r="E47" i="23"/>
  <c r="G47" i="23" s="1"/>
  <c r="E59" i="23"/>
  <c r="G59" i="23" s="1"/>
  <c r="E54" i="23"/>
  <c r="G54" i="23" s="1"/>
  <c r="E46" i="23"/>
  <c r="G46" i="23" s="1"/>
  <c r="E39" i="23"/>
  <c r="G39" i="23" s="1"/>
  <c r="E67" i="23"/>
  <c r="G67" i="23" s="1"/>
  <c r="E58" i="23"/>
  <c r="G58" i="23" s="1"/>
  <c r="E13" i="23"/>
  <c r="G13" i="23" s="1"/>
  <c r="I13" i="23" s="1"/>
  <c r="J13" i="23" s="1"/>
  <c r="E44" i="23"/>
  <c r="G44" i="23" s="1"/>
  <c r="E41" i="14"/>
  <c r="G41" i="14" s="1"/>
  <c r="E17" i="19"/>
  <c r="G17" i="19" s="1"/>
  <c r="I17" i="19" s="1"/>
  <c r="E28" i="19"/>
  <c r="G28" i="19" s="1"/>
  <c r="I28" i="19" s="1"/>
  <c r="E11" i="20"/>
  <c r="G11" i="20" s="1"/>
  <c r="I11" i="20" s="1"/>
  <c r="E22" i="20"/>
  <c r="G22" i="20" s="1"/>
  <c r="I22" i="20" s="1"/>
  <c r="E31" i="20"/>
  <c r="G31" i="20" s="1"/>
  <c r="E9" i="23"/>
  <c r="G9" i="23" s="1"/>
  <c r="I9" i="23" s="1"/>
  <c r="J9" i="23" s="1"/>
  <c r="E9" i="14"/>
  <c r="G9" i="14" s="1"/>
  <c r="I9" i="14" s="1"/>
  <c r="E50" i="14"/>
  <c r="G50" i="14" s="1"/>
  <c r="E77" i="14"/>
  <c r="G77" i="14" s="1"/>
  <c r="E56" i="20"/>
  <c r="G56" i="20" s="1"/>
  <c r="E36" i="21"/>
  <c r="G36" i="21" s="1"/>
  <c r="E61" i="21"/>
  <c r="G61" i="21" s="1"/>
  <c r="E44" i="19"/>
  <c r="G44" i="19" s="1"/>
  <c r="E38" i="20"/>
  <c r="G38" i="20" s="1"/>
  <c r="E10" i="21"/>
  <c r="G10" i="21" s="1"/>
  <c r="I10" i="21" s="1"/>
  <c r="E21" i="21"/>
  <c r="G21" i="21" s="1"/>
  <c r="I21" i="21" s="1"/>
  <c r="E45" i="21"/>
  <c r="G45" i="21" s="1"/>
  <c r="G5" i="22"/>
  <c r="E22" i="23"/>
  <c r="G22" i="23" s="1"/>
  <c r="I22" i="23" s="1"/>
  <c r="J22" i="23" s="1"/>
  <c r="K14" i="18" l="1"/>
  <c r="J14" i="18"/>
  <c r="K11" i="22"/>
  <c r="J11" i="22"/>
  <c r="K23" i="4"/>
  <c r="J23" i="4"/>
  <c r="J10" i="4"/>
  <c r="K10" i="4"/>
  <c r="K11" i="8"/>
  <c r="J11" i="8"/>
  <c r="K10" i="6"/>
  <c r="J10" i="6"/>
  <c r="K14" i="13"/>
  <c r="J14" i="13"/>
  <c r="K19" i="9"/>
  <c r="J19" i="9"/>
  <c r="K13" i="5"/>
  <c r="J13" i="5"/>
  <c r="K21" i="7"/>
  <c r="J21" i="7"/>
  <c r="E70" i="4"/>
  <c r="E4" i="4" s="1"/>
  <c r="E72" i="12"/>
  <c r="E2" i="12" s="1"/>
  <c r="J11" i="6"/>
  <c r="K11" i="6"/>
  <c r="K10" i="21"/>
  <c r="J10" i="21"/>
  <c r="K22" i="22"/>
  <c r="J22" i="22"/>
  <c r="J18" i="5"/>
  <c r="K18" i="5"/>
  <c r="K13" i="9"/>
  <c r="J13" i="9"/>
  <c r="K11" i="9"/>
  <c r="J11" i="9"/>
  <c r="K22" i="13"/>
  <c r="J22" i="13"/>
  <c r="K10" i="9"/>
  <c r="J10" i="9"/>
  <c r="K12" i="5"/>
  <c r="J12" i="5"/>
  <c r="K20" i="10"/>
  <c r="J20" i="10"/>
  <c r="K16" i="10"/>
  <c r="J16" i="10"/>
  <c r="J10" i="8"/>
  <c r="K10" i="8"/>
  <c r="K23" i="13"/>
  <c r="J23" i="13"/>
  <c r="E2" i="16"/>
  <c r="G55" i="10"/>
  <c r="E72" i="10"/>
  <c r="E4" i="10" s="1"/>
  <c r="E4" i="7"/>
  <c r="E2" i="7"/>
  <c r="E66" i="16"/>
  <c r="E4" i="16" s="1"/>
  <c r="K25" i="9"/>
  <c r="J25" i="9"/>
  <c r="K11" i="10"/>
  <c r="J11" i="10"/>
  <c r="J22" i="9"/>
  <c r="K22" i="9"/>
  <c r="K21" i="6"/>
  <c r="J21" i="6"/>
  <c r="K22" i="6"/>
  <c r="J22" i="6"/>
  <c r="K15" i="13"/>
  <c r="J15" i="13"/>
  <c r="K29" i="9"/>
  <c r="J29" i="9"/>
  <c r="K12" i="8"/>
  <c r="J12" i="8"/>
  <c r="K18" i="18"/>
  <c r="J18" i="18"/>
  <c r="K21" i="15"/>
  <c r="J21" i="15"/>
  <c r="K9" i="22"/>
  <c r="J9" i="22"/>
  <c r="K15" i="18"/>
  <c r="J15" i="18"/>
  <c r="J13" i="8"/>
  <c r="K13" i="8"/>
  <c r="K17" i="9"/>
  <c r="J17" i="9"/>
  <c r="K16" i="13"/>
  <c r="J16" i="13"/>
  <c r="E74" i="9"/>
  <c r="E4" i="9" s="1"/>
  <c r="G57" i="9"/>
  <c r="J16" i="5"/>
  <c r="K16" i="5"/>
  <c r="K24" i="7"/>
  <c r="K21" i="17"/>
  <c r="J21" i="17"/>
  <c r="K10" i="16"/>
  <c r="J10" i="16"/>
  <c r="K17" i="7"/>
  <c r="J17" i="7"/>
  <c r="K10" i="13"/>
  <c r="J10" i="13"/>
  <c r="K12" i="22"/>
  <c r="J12" i="22"/>
  <c r="K21" i="16"/>
  <c r="J21" i="16"/>
  <c r="K13" i="6"/>
  <c r="J13" i="6"/>
  <c r="J17" i="5"/>
  <c r="K17" i="5"/>
  <c r="K17" i="10"/>
  <c r="J17" i="10"/>
  <c r="K16" i="6"/>
  <c r="J16" i="6"/>
  <c r="K21" i="13"/>
  <c r="J21" i="13"/>
  <c r="K23" i="22"/>
  <c r="J23" i="22"/>
  <c r="K10" i="18"/>
  <c r="J10" i="18"/>
  <c r="K9" i="23"/>
  <c r="K13" i="23"/>
  <c r="G54" i="21"/>
  <c r="E67" i="21"/>
  <c r="E4" i="21" s="1"/>
  <c r="K20" i="5"/>
  <c r="J20" i="5"/>
  <c r="G52" i="2"/>
  <c r="E69" i="2"/>
  <c r="G55" i="13"/>
  <c r="E72" i="13"/>
  <c r="E4" i="13" s="1"/>
  <c r="K18" i="23"/>
  <c r="K12" i="10"/>
  <c r="J12" i="10"/>
  <c r="K14" i="6"/>
  <c r="J14" i="6"/>
  <c r="K11" i="13"/>
  <c r="J11" i="13"/>
  <c r="K27" i="13"/>
  <c r="J27" i="13"/>
  <c r="K11" i="5"/>
  <c r="J11" i="5"/>
  <c r="K22" i="4"/>
  <c r="J22" i="4"/>
  <c r="K10" i="17"/>
  <c r="J10" i="17"/>
  <c r="K11" i="19"/>
  <c r="J11" i="19"/>
  <c r="K13" i="22"/>
  <c r="J13" i="22"/>
  <c r="J17" i="15"/>
  <c r="K17" i="15"/>
  <c r="K24" i="22"/>
  <c r="J24" i="22"/>
  <c r="J12" i="7"/>
  <c r="K12" i="7"/>
  <c r="K10" i="10"/>
  <c r="J10" i="10"/>
  <c r="J15" i="4"/>
  <c r="K15" i="4"/>
  <c r="K23" i="10"/>
  <c r="J23" i="10"/>
  <c r="K20" i="9"/>
  <c r="J20" i="9"/>
  <c r="K20" i="13"/>
  <c r="J20" i="13"/>
  <c r="E4" i="23"/>
  <c r="E2" i="23"/>
  <c r="K20" i="8"/>
  <c r="J20" i="8"/>
  <c r="K16" i="17"/>
  <c r="J16" i="17"/>
  <c r="K16" i="18"/>
  <c r="J16" i="18"/>
  <c r="E72" i="19"/>
  <c r="E2" i="19" s="1"/>
  <c r="G59" i="19"/>
  <c r="K11" i="17"/>
  <c r="J11" i="17"/>
  <c r="G52" i="22"/>
  <c r="E65" i="22"/>
  <c r="E4" i="22" s="1"/>
  <c r="K12" i="23"/>
  <c r="K18" i="10"/>
  <c r="J18" i="10"/>
  <c r="L19" i="3"/>
  <c r="K27" i="19"/>
  <c r="J27" i="19"/>
  <c r="J15" i="21"/>
  <c r="K15" i="21"/>
  <c r="K13" i="18"/>
  <c r="J13" i="18"/>
  <c r="K18" i="6"/>
  <c r="J18" i="6"/>
  <c r="E66" i="17"/>
  <c r="G53" i="17"/>
  <c r="K21" i="18"/>
  <c r="J21" i="18"/>
  <c r="K14" i="21"/>
  <c r="J14" i="21"/>
  <c r="K18" i="4"/>
  <c r="J18" i="4"/>
  <c r="K22" i="17"/>
  <c r="J22" i="17"/>
  <c r="K28" i="22"/>
  <c r="J28" i="22"/>
  <c r="K19" i="22"/>
  <c r="J19" i="22"/>
  <c r="K11" i="16"/>
  <c r="J11" i="16"/>
  <c r="K17" i="23"/>
  <c r="K9" i="10"/>
  <c r="J9" i="10"/>
  <c r="K9" i="13"/>
  <c r="J9" i="13"/>
  <c r="K14" i="8"/>
  <c r="J14" i="8"/>
  <c r="E69" i="3"/>
  <c r="J9" i="11"/>
  <c r="K9" i="11"/>
  <c r="K20" i="15"/>
  <c r="J20" i="15"/>
  <c r="K26" i="19"/>
  <c r="J26" i="19"/>
  <c r="E66" i="18"/>
  <c r="E4" i="18" s="1"/>
  <c r="G53" i="18"/>
  <c r="K11" i="18"/>
  <c r="J11" i="18"/>
  <c r="K22" i="16"/>
  <c r="J22" i="16"/>
  <c r="K19" i="8"/>
  <c r="J19" i="8"/>
  <c r="K20" i="23"/>
  <c r="K2" i="2"/>
  <c r="L24" i="2" s="1"/>
  <c r="K4" i="2"/>
  <c r="M4" i="2" s="1"/>
  <c r="K74" i="2"/>
  <c r="L74" i="2" s="1"/>
  <c r="K17" i="13"/>
  <c r="J17" i="13"/>
  <c r="L52" i="3"/>
  <c r="L53" i="3"/>
  <c r="L31" i="3"/>
  <c r="L17" i="3"/>
  <c r="L56" i="3"/>
  <c r="L9" i="3"/>
  <c r="L15" i="3"/>
  <c r="L46" i="3"/>
  <c r="L55" i="3"/>
  <c r="M2" i="3"/>
  <c r="L33" i="3"/>
  <c r="L58" i="3"/>
  <c r="L42" i="3"/>
  <c r="L26" i="3"/>
  <c r="L11" i="3"/>
  <c r="L24" i="3"/>
  <c r="L57" i="3"/>
  <c r="L41" i="3"/>
  <c r="L10" i="3"/>
  <c r="L29" i="3"/>
  <c r="L14" i="3"/>
  <c r="L35" i="3"/>
  <c r="K12" i="13"/>
  <c r="J12" i="13"/>
  <c r="K22" i="20"/>
  <c r="J22" i="20"/>
  <c r="K20" i="22"/>
  <c r="J20" i="22"/>
  <c r="K23" i="23"/>
  <c r="J17" i="17"/>
  <c r="K17" i="17"/>
  <c r="K27" i="18"/>
  <c r="J27" i="18"/>
  <c r="K20" i="16"/>
  <c r="J20" i="16"/>
  <c r="K15" i="22"/>
  <c r="J15" i="22"/>
  <c r="K22" i="18"/>
  <c r="J22" i="18"/>
  <c r="L18" i="3"/>
  <c r="L21" i="3"/>
  <c r="E66" i="15"/>
  <c r="E4" i="15" s="1"/>
  <c r="G53" i="15"/>
  <c r="K22" i="10"/>
  <c r="J22" i="10"/>
  <c r="K10" i="20"/>
  <c r="J10" i="20"/>
  <c r="K11" i="15"/>
  <c r="J11" i="15"/>
  <c r="K28" i="21"/>
  <c r="J28" i="21"/>
  <c r="K16" i="20"/>
  <c r="J16" i="20"/>
  <c r="K15" i="16"/>
  <c r="J15" i="16"/>
  <c r="K21" i="19"/>
  <c r="J21" i="19"/>
  <c r="K9" i="17"/>
  <c r="J9" i="17"/>
  <c r="K12" i="15"/>
  <c r="J12" i="15"/>
  <c r="K11" i="4"/>
  <c r="J11" i="4"/>
  <c r="E71" i="8"/>
  <c r="L74" i="3"/>
  <c r="E4" i="14"/>
  <c r="E2" i="14"/>
  <c r="K24" i="23"/>
  <c r="J9" i="20"/>
  <c r="K9" i="20"/>
  <c r="K17" i="19"/>
  <c r="J17" i="19"/>
  <c r="K10" i="19"/>
  <c r="J10" i="19"/>
  <c r="K19" i="15"/>
  <c r="J19" i="15"/>
  <c r="J23" i="15"/>
  <c r="K23" i="15"/>
  <c r="J17" i="16"/>
  <c r="K17" i="16"/>
  <c r="K24" i="9"/>
  <c r="J24" i="9"/>
  <c r="K18" i="7"/>
  <c r="J18" i="7"/>
  <c r="K15" i="23"/>
  <c r="K10" i="5"/>
  <c r="K24" i="5" s="1"/>
  <c r="J10" i="5"/>
  <c r="K15" i="6"/>
  <c r="J15" i="6"/>
  <c r="K13" i="7"/>
  <c r="J13" i="7"/>
  <c r="J9" i="16"/>
  <c r="K9" i="16"/>
  <c r="K19" i="21"/>
  <c r="J19" i="21"/>
  <c r="K16" i="19"/>
  <c r="K31" i="19" s="1"/>
  <c r="J16" i="19"/>
  <c r="K10" i="15"/>
  <c r="J10" i="15"/>
  <c r="K18" i="22"/>
  <c r="J18" i="22"/>
  <c r="K17" i="18"/>
  <c r="J17" i="18"/>
  <c r="K15" i="9"/>
  <c r="J15" i="9"/>
  <c r="K22" i="23"/>
  <c r="K16" i="23"/>
  <c r="K19" i="7"/>
  <c r="J19" i="7"/>
  <c r="K13" i="13"/>
  <c r="J13" i="13"/>
  <c r="K25" i="14"/>
  <c r="J25" i="14"/>
  <c r="K20" i="21"/>
  <c r="J20" i="21"/>
  <c r="K16" i="15"/>
  <c r="J16" i="15"/>
  <c r="K9" i="21"/>
  <c r="J9" i="21"/>
  <c r="J12" i="17"/>
  <c r="K12" i="17"/>
  <c r="J10" i="22"/>
  <c r="K10" i="22"/>
  <c r="K12" i="6"/>
  <c r="J12" i="6"/>
  <c r="K18" i="8"/>
  <c r="J18" i="8"/>
  <c r="L44" i="3"/>
  <c r="K11" i="20"/>
  <c r="J11" i="20"/>
  <c r="K14" i="22"/>
  <c r="J14" i="22"/>
  <c r="K24" i="14"/>
  <c r="J24" i="14"/>
  <c r="K23" i="17"/>
  <c r="J23" i="17"/>
  <c r="K21" i="22"/>
  <c r="J21" i="22"/>
  <c r="K10" i="23"/>
  <c r="L39" i="3"/>
  <c r="L2" i="3" s="1"/>
  <c r="L30" i="3"/>
  <c r="L13" i="3"/>
  <c r="L61" i="3"/>
  <c r="K15" i="19"/>
  <c r="J15" i="19"/>
  <c r="E65" i="23"/>
  <c r="K19" i="11"/>
  <c r="J19" i="11"/>
  <c r="K20" i="11"/>
  <c r="J20" i="11"/>
  <c r="K14" i="11"/>
  <c r="J14" i="11"/>
  <c r="K12" i="16"/>
  <c r="J12" i="16"/>
  <c r="K19" i="5"/>
  <c r="J19" i="5"/>
  <c r="K17" i="8"/>
  <c r="J17" i="8"/>
  <c r="K21" i="9"/>
  <c r="J21" i="9"/>
  <c r="K22" i="5"/>
  <c r="J22" i="5"/>
  <c r="K15" i="5"/>
  <c r="J15" i="5"/>
  <c r="K18" i="9"/>
  <c r="J18" i="9"/>
  <c r="L71" i="3"/>
  <c r="J17" i="6"/>
  <c r="K17" i="6"/>
  <c r="K27" i="16"/>
  <c r="J27" i="16"/>
  <c r="K21" i="20"/>
  <c r="J21" i="20"/>
  <c r="K9" i="14"/>
  <c r="J9" i="14"/>
  <c r="K28" i="19"/>
  <c r="J28" i="19"/>
  <c r="K22" i="15"/>
  <c r="J22" i="15"/>
  <c r="K12" i="4"/>
  <c r="J12" i="4"/>
  <c r="K9" i="15"/>
  <c r="J9" i="15"/>
  <c r="K19" i="17"/>
  <c r="J19" i="17"/>
  <c r="K23" i="16"/>
  <c r="J23" i="16"/>
  <c r="K19" i="6"/>
  <c r="J19" i="6"/>
  <c r="K23" i="9"/>
  <c r="J23" i="9"/>
  <c r="K11" i="7"/>
  <c r="J11" i="7"/>
  <c r="G54" i="6"/>
  <c r="E71" i="6"/>
  <c r="K19" i="23"/>
  <c r="K14" i="7"/>
  <c r="J14" i="7"/>
  <c r="K20" i="4"/>
  <c r="J20" i="4"/>
  <c r="K9" i="9"/>
  <c r="J9" i="9"/>
  <c r="L37" i="3"/>
  <c r="L60" i="3"/>
  <c r="E71" i="5"/>
  <c r="G54" i="5"/>
  <c r="K17" i="22"/>
  <c r="J17" i="22"/>
  <c r="K28" i="20"/>
  <c r="J28" i="20"/>
  <c r="E72" i="11"/>
  <c r="G55" i="11"/>
  <c r="K18" i="12"/>
  <c r="J18" i="12"/>
  <c r="K19" i="10"/>
  <c r="J19" i="10"/>
  <c r="G54" i="20"/>
  <c r="E67" i="20"/>
  <c r="K14" i="16"/>
  <c r="J14" i="16"/>
  <c r="K16" i="22"/>
  <c r="J16" i="22"/>
  <c r="K17" i="4"/>
  <c r="J17" i="4"/>
  <c r="K14" i="9"/>
  <c r="J14" i="9"/>
  <c r="K15" i="7"/>
  <c r="J15" i="7"/>
  <c r="K21" i="21"/>
  <c r="J21" i="21"/>
  <c r="K21" i="4"/>
  <c r="J21" i="4"/>
  <c r="K20" i="20"/>
  <c r="J20" i="20"/>
  <c r="K16" i="16"/>
  <c r="J16" i="16"/>
  <c r="K22" i="12"/>
  <c r="J22" i="12"/>
  <c r="K13" i="16"/>
  <c r="J13" i="16"/>
  <c r="K18" i="21"/>
  <c r="J18" i="21"/>
  <c r="K15" i="20"/>
  <c r="J15" i="20"/>
  <c r="K19" i="16"/>
  <c r="J19" i="16"/>
  <c r="K16" i="4"/>
  <c r="J16" i="4"/>
  <c r="K14" i="23"/>
  <c r="K16" i="9"/>
  <c r="J16" i="9"/>
  <c r="G54" i="7"/>
  <c r="E71" i="7"/>
  <c r="K2" i="5" l="1"/>
  <c r="L24" i="5"/>
  <c r="K4" i="5"/>
  <c r="M4" i="5" s="1"/>
  <c r="K76" i="5"/>
  <c r="L76" i="5" s="1"/>
  <c r="K4" i="19"/>
  <c r="M4" i="19" s="1"/>
  <c r="K77" i="19"/>
  <c r="K2" i="19"/>
  <c r="L14" i="7"/>
  <c r="L17" i="19"/>
  <c r="L12" i="7"/>
  <c r="L26" i="19"/>
  <c r="E4" i="8"/>
  <c r="E2" i="8"/>
  <c r="L11" i="19"/>
  <c r="E2" i="17"/>
  <c r="E4" i="17"/>
  <c r="K25" i="11"/>
  <c r="L21" i="7"/>
  <c r="L17" i="5"/>
  <c r="L13" i="5"/>
  <c r="E4" i="2"/>
  <c r="E2" i="2"/>
  <c r="E4" i="11"/>
  <c r="E2" i="11"/>
  <c r="K25" i="15"/>
  <c r="K25" i="12"/>
  <c r="L27" i="19"/>
  <c r="L11" i="5"/>
  <c r="L20" i="5"/>
  <c r="K24" i="8"/>
  <c r="E4" i="19"/>
  <c r="K25" i="17"/>
  <c r="L19" i="7"/>
  <c r="K25" i="13"/>
  <c r="L22" i="5"/>
  <c r="E4" i="12"/>
  <c r="E2" i="4"/>
  <c r="K25" i="10"/>
  <c r="E2" i="13"/>
  <c r="L12" i="5"/>
  <c r="E2" i="20"/>
  <c r="E4" i="20"/>
  <c r="E2" i="5"/>
  <c r="E4" i="5"/>
  <c r="E2" i="10"/>
  <c r="E4" i="3"/>
  <c r="E2" i="3"/>
  <c r="L28" i="19"/>
  <c r="L16" i="5"/>
  <c r="L15" i="5"/>
  <c r="K26" i="20"/>
  <c r="K26" i="21"/>
  <c r="L19" i="5"/>
  <c r="L15" i="7"/>
  <c r="E2" i="18"/>
  <c r="K24" i="6"/>
  <c r="K27" i="9"/>
  <c r="K26" i="23"/>
  <c r="L16" i="19"/>
  <c r="L13" i="7"/>
  <c r="K29" i="14"/>
  <c r="M2" i="2"/>
  <c r="L37" i="2"/>
  <c r="L71" i="2"/>
  <c r="L34" i="2"/>
  <c r="L18" i="2"/>
  <c r="L21" i="2"/>
  <c r="L20" i="2"/>
  <c r="L36" i="2"/>
  <c r="L17" i="2"/>
  <c r="L56" i="2"/>
  <c r="L69" i="2"/>
  <c r="L42" i="2"/>
  <c r="L30" i="2"/>
  <c r="L10" i="2"/>
  <c r="L14" i="2"/>
  <c r="L46" i="2"/>
  <c r="L41" i="2"/>
  <c r="L26" i="2"/>
  <c r="L47" i="2"/>
  <c r="L54" i="2"/>
  <c r="L13" i="2"/>
  <c r="L31" i="2"/>
  <c r="L57" i="2"/>
  <c r="L39" i="2"/>
  <c r="L16" i="2"/>
  <c r="L19" i="2"/>
  <c r="L45" i="2"/>
  <c r="L33" i="2"/>
  <c r="L12" i="2"/>
  <c r="L32" i="2"/>
  <c r="L29" i="2"/>
  <c r="L52" i="2"/>
  <c r="L61" i="2"/>
  <c r="L22" i="2"/>
  <c r="L15" i="2"/>
  <c r="L43" i="2"/>
  <c r="L11" i="2"/>
  <c r="L9" i="2"/>
  <c r="L49" i="2"/>
  <c r="L35" i="2"/>
  <c r="L58" i="2"/>
  <c r="L55" i="2"/>
  <c r="L59" i="2"/>
  <c r="L53" i="2"/>
  <c r="L60" i="2"/>
  <c r="L44" i="2"/>
  <c r="L28" i="2"/>
  <c r="L10" i="5"/>
  <c r="K26" i="22"/>
  <c r="E2" i="9"/>
  <c r="E2" i="15"/>
  <c r="L15" i="19"/>
  <c r="K25" i="18"/>
  <c r="E2" i="22"/>
  <c r="K4" i="7"/>
  <c r="M4" i="7" s="1"/>
  <c r="K2" i="7"/>
  <c r="L18" i="7" s="1"/>
  <c r="K76" i="7"/>
  <c r="L76" i="7" s="1"/>
  <c r="E4" i="6"/>
  <c r="E2" i="6"/>
  <c r="K25" i="16"/>
  <c r="L11" i="7"/>
  <c r="K25" i="4"/>
  <c r="L10" i="19"/>
  <c r="L18" i="5"/>
  <c r="E2" i="21"/>
  <c r="K4" i="6" l="1"/>
  <c r="M4" i="6" s="1"/>
  <c r="K76" i="6"/>
  <c r="K2" i="6"/>
  <c r="K4" i="18"/>
  <c r="M4" i="18" s="1"/>
  <c r="K71" i="18"/>
  <c r="K2" i="18"/>
  <c r="K70" i="23"/>
  <c r="K4" i="23"/>
  <c r="M4" i="23" s="1"/>
  <c r="K2" i="23"/>
  <c r="L26" i="23" s="1"/>
  <c r="K4" i="22"/>
  <c r="M4" i="22" s="1"/>
  <c r="K2" i="22"/>
  <c r="K70" i="22"/>
  <c r="L70" i="22" s="1"/>
  <c r="L26" i="22"/>
  <c r="K76" i="8"/>
  <c r="K4" i="8"/>
  <c r="M4" i="8" s="1"/>
  <c r="K2" i="8"/>
  <c r="L24" i="8" s="1"/>
  <c r="K77" i="10"/>
  <c r="K4" i="10"/>
  <c r="M4" i="10" s="1"/>
  <c r="K2" i="10"/>
  <c r="K4" i="14"/>
  <c r="M4" i="14" s="1"/>
  <c r="K2" i="14"/>
  <c r="K80" i="14"/>
  <c r="L80" i="14" s="1"/>
  <c r="K75" i="4"/>
  <c r="K2" i="4"/>
  <c r="K4" i="4"/>
  <c r="M4" i="4" s="1"/>
  <c r="L52" i="19"/>
  <c r="L43" i="19"/>
  <c r="L51" i="19"/>
  <c r="L42" i="19"/>
  <c r="L50" i="19"/>
  <c r="L49" i="19"/>
  <c r="L65" i="19"/>
  <c r="L40" i="19"/>
  <c r="L54" i="19"/>
  <c r="M2" i="19"/>
  <c r="L44" i="19"/>
  <c r="L62" i="19"/>
  <c r="L37" i="19"/>
  <c r="L72" i="19"/>
  <c r="L68" i="19"/>
  <c r="L36" i="19"/>
  <c r="L63" i="19"/>
  <c r="L66" i="19"/>
  <c r="L64" i="19"/>
  <c r="L13" i="19"/>
  <c r="L24" i="19"/>
  <c r="L38" i="19"/>
  <c r="L60" i="19"/>
  <c r="L35" i="19"/>
  <c r="L56" i="19"/>
  <c r="L48" i="19"/>
  <c r="L61" i="19"/>
  <c r="L59" i="19"/>
  <c r="L41" i="19"/>
  <c r="L67" i="19"/>
  <c r="L39" i="19"/>
  <c r="L74" i="19"/>
  <c r="L53" i="19"/>
  <c r="L14" i="19"/>
  <c r="L29" i="19"/>
  <c r="L46" i="19"/>
  <c r="L12" i="19"/>
  <c r="L22" i="19"/>
  <c r="L9" i="19"/>
  <c r="L19" i="19"/>
  <c r="L23" i="19"/>
  <c r="L33" i="19"/>
  <c r="L18" i="19"/>
  <c r="L25" i="19"/>
  <c r="L20" i="19"/>
  <c r="K71" i="17"/>
  <c r="K4" i="17"/>
  <c r="M4" i="17" s="1"/>
  <c r="K2" i="17"/>
  <c r="L25" i="17"/>
  <c r="L77" i="19"/>
  <c r="K71" i="15"/>
  <c r="K4" i="15"/>
  <c r="M4" i="15" s="1"/>
  <c r="K2" i="15"/>
  <c r="L25" i="15"/>
  <c r="K2" i="13"/>
  <c r="K4" i="13"/>
  <c r="M4" i="13" s="1"/>
  <c r="K78" i="13"/>
  <c r="L78" i="13" s="1"/>
  <c r="K72" i="21"/>
  <c r="K4" i="21"/>
  <c r="M4" i="21" s="1"/>
  <c r="K2" i="21"/>
  <c r="L21" i="19"/>
  <c r="K77" i="11"/>
  <c r="L77" i="11" s="1"/>
  <c r="K4" i="11"/>
  <c r="M4" i="11" s="1"/>
  <c r="K2" i="11"/>
  <c r="L31" i="19"/>
  <c r="L2" i="2"/>
  <c r="K72" i="20"/>
  <c r="K4" i="20"/>
  <c r="M4" i="20" s="1"/>
  <c r="K2" i="20"/>
  <c r="L26" i="20" s="1"/>
  <c r="K4" i="12"/>
  <c r="M4" i="12" s="1"/>
  <c r="K2" i="12"/>
  <c r="K77" i="12"/>
  <c r="L77" i="12" s="1"/>
  <c r="L25" i="12"/>
  <c r="L46" i="7"/>
  <c r="L29" i="7"/>
  <c r="L63" i="7"/>
  <c r="L62" i="7"/>
  <c r="L44" i="7"/>
  <c r="L34" i="7"/>
  <c r="L32" i="7"/>
  <c r="L60" i="7"/>
  <c r="L49" i="7"/>
  <c r="L39" i="7"/>
  <c r="M2" i="7"/>
  <c r="L48" i="7"/>
  <c r="L30" i="7"/>
  <c r="L59" i="7"/>
  <c r="L47" i="7"/>
  <c r="L56" i="7"/>
  <c r="L37" i="7"/>
  <c r="L57" i="7"/>
  <c r="L61" i="7"/>
  <c r="L54" i="7"/>
  <c r="L35" i="7"/>
  <c r="L73" i="7"/>
  <c r="L43" i="7"/>
  <c r="L51" i="7"/>
  <c r="L33" i="7"/>
  <c r="L45" i="7"/>
  <c r="L58" i="7"/>
  <c r="L36" i="7"/>
  <c r="L55" i="7"/>
  <c r="L28" i="7"/>
  <c r="L38" i="7"/>
  <c r="L31" i="7"/>
  <c r="L26" i="7"/>
  <c r="L71" i="7"/>
  <c r="L20" i="7"/>
  <c r="L41" i="7"/>
  <c r="L16" i="7"/>
  <c r="L9" i="7"/>
  <c r="L10" i="7"/>
  <c r="L22" i="7"/>
  <c r="K2" i="9"/>
  <c r="K79" i="9"/>
  <c r="L79" i="9" s="1"/>
  <c r="K4" i="9"/>
  <c r="M4" i="9" s="1"/>
  <c r="K71" i="16"/>
  <c r="K4" i="16"/>
  <c r="M4" i="16" s="1"/>
  <c r="K2" i="16"/>
  <c r="L25" i="16" s="1"/>
  <c r="L24" i="7"/>
  <c r="L17" i="7"/>
  <c r="M2" i="5"/>
  <c r="L63" i="5"/>
  <c r="L60" i="5"/>
  <c r="L47" i="5"/>
  <c r="L33" i="5"/>
  <c r="L32" i="5"/>
  <c r="L48" i="5"/>
  <c r="L58" i="5"/>
  <c r="L38" i="5"/>
  <c r="L39" i="5"/>
  <c r="L56" i="5"/>
  <c r="L30" i="5"/>
  <c r="L31" i="5"/>
  <c r="L54" i="5"/>
  <c r="L57" i="5"/>
  <c r="L37" i="5"/>
  <c r="L36" i="5"/>
  <c r="L59" i="5"/>
  <c r="L49" i="5"/>
  <c r="L55" i="5"/>
  <c r="L26" i="5"/>
  <c r="L61" i="5"/>
  <c r="L45" i="5"/>
  <c r="L34" i="5"/>
  <c r="L28" i="5"/>
  <c r="L62" i="5"/>
  <c r="L43" i="5"/>
  <c r="L29" i="5"/>
  <c r="L35" i="5"/>
  <c r="L44" i="5"/>
  <c r="L73" i="5"/>
  <c r="L41" i="5"/>
  <c r="L46" i="5"/>
  <c r="L71" i="5"/>
  <c r="L21" i="5"/>
  <c r="L51" i="5"/>
  <c r="L14" i="5"/>
  <c r="L9" i="5"/>
  <c r="L77" i="10" l="1"/>
  <c r="M2" i="22"/>
  <c r="L57" i="22"/>
  <c r="L67" i="22"/>
  <c r="L37" i="22"/>
  <c r="L55" i="22"/>
  <c r="L30" i="22"/>
  <c r="L45" i="22"/>
  <c r="L43" i="22"/>
  <c r="L35" i="22"/>
  <c r="L47" i="22"/>
  <c r="L54" i="22"/>
  <c r="L31" i="22"/>
  <c r="L34" i="22"/>
  <c r="L61" i="22"/>
  <c r="L46" i="22"/>
  <c r="L58" i="22"/>
  <c r="L44" i="22"/>
  <c r="L53" i="22"/>
  <c r="L39" i="22"/>
  <c r="L36" i="22"/>
  <c r="L32" i="22"/>
  <c r="L60" i="22"/>
  <c r="L41" i="22"/>
  <c r="L38" i="22"/>
  <c r="L52" i="22"/>
  <c r="L33" i="22"/>
  <c r="L65" i="22"/>
  <c r="L56" i="22"/>
  <c r="L59" i="22"/>
  <c r="L49" i="22"/>
  <c r="L2" i="22" s="1"/>
  <c r="L17" i="22"/>
  <c r="L9" i="22"/>
  <c r="L20" i="22"/>
  <c r="L15" i="22"/>
  <c r="L13" i="22"/>
  <c r="L28" i="22"/>
  <c r="L19" i="22"/>
  <c r="L14" i="22"/>
  <c r="L16" i="22"/>
  <c r="L12" i="22"/>
  <c r="L11" i="22"/>
  <c r="L10" i="22"/>
  <c r="L24" i="22"/>
  <c r="L23" i="22"/>
  <c r="L18" i="22"/>
  <c r="L21" i="22"/>
  <c r="L22" i="22"/>
  <c r="L76" i="8"/>
  <c r="L38" i="15"/>
  <c r="L56" i="15"/>
  <c r="L31" i="15"/>
  <c r="L37" i="15"/>
  <c r="L45" i="15"/>
  <c r="L36" i="15"/>
  <c r="L42" i="15"/>
  <c r="L32" i="15"/>
  <c r="M2" i="15"/>
  <c r="L47" i="15"/>
  <c r="L58" i="15"/>
  <c r="L35" i="15"/>
  <c r="L44" i="15"/>
  <c r="L43" i="15"/>
  <c r="L33" i="15"/>
  <c r="L57" i="15"/>
  <c r="L34" i="15"/>
  <c r="L62" i="15"/>
  <c r="L29" i="15"/>
  <c r="L53" i="15"/>
  <c r="L54" i="15"/>
  <c r="L61" i="15"/>
  <c r="L30" i="15"/>
  <c r="L55" i="15"/>
  <c r="L68" i="15"/>
  <c r="L60" i="15"/>
  <c r="L48" i="15"/>
  <c r="L59" i="15"/>
  <c r="L18" i="15"/>
  <c r="L50" i="15"/>
  <c r="L46" i="15"/>
  <c r="L14" i="15"/>
  <c r="L27" i="15"/>
  <c r="L15" i="15"/>
  <c r="L13" i="15"/>
  <c r="L66" i="15"/>
  <c r="L40" i="15"/>
  <c r="L9" i="15"/>
  <c r="L19" i="15"/>
  <c r="L17" i="15"/>
  <c r="L11" i="15"/>
  <c r="L22" i="15"/>
  <c r="L16" i="15"/>
  <c r="L10" i="15"/>
  <c r="L23" i="15"/>
  <c r="L20" i="15"/>
  <c r="L12" i="15"/>
  <c r="L21" i="15"/>
  <c r="L51" i="9"/>
  <c r="L36" i="9"/>
  <c r="L42" i="9"/>
  <c r="L57" i="9"/>
  <c r="L46" i="9"/>
  <c r="M2" i="9"/>
  <c r="L65" i="9"/>
  <c r="L47" i="9"/>
  <c r="L63" i="9"/>
  <c r="L52" i="9"/>
  <c r="L33" i="9"/>
  <c r="L39" i="9"/>
  <c r="L31" i="9"/>
  <c r="L38" i="9"/>
  <c r="L37" i="9"/>
  <c r="L62" i="9"/>
  <c r="L40" i="9"/>
  <c r="L35" i="9"/>
  <c r="L66" i="9"/>
  <c r="L76" i="9"/>
  <c r="L60" i="9"/>
  <c r="L59" i="9"/>
  <c r="L49" i="9"/>
  <c r="L32" i="9"/>
  <c r="L41" i="9"/>
  <c r="L48" i="9"/>
  <c r="L61" i="9"/>
  <c r="L54" i="9"/>
  <c r="L64" i="9"/>
  <c r="L34" i="9"/>
  <c r="L58" i="9"/>
  <c r="L50" i="9"/>
  <c r="L74" i="9"/>
  <c r="L44" i="9"/>
  <c r="L12" i="9"/>
  <c r="L11" i="9"/>
  <c r="L22" i="9"/>
  <c r="L24" i="9"/>
  <c r="L21" i="9"/>
  <c r="L17" i="9"/>
  <c r="L13" i="9"/>
  <c r="L19" i="9"/>
  <c r="L29" i="9"/>
  <c r="L23" i="9"/>
  <c r="L20" i="9"/>
  <c r="L16" i="9"/>
  <c r="L14" i="9"/>
  <c r="L18" i="9"/>
  <c r="L10" i="9"/>
  <c r="L9" i="9"/>
  <c r="L15" i="9"/>
  <c r="L25" i="9"/>
  <c r="L47" i="4"/>
  <c r="L32" i="4"/>
  <c r="L72" i="4"/>
  <c r="L37" i="4"/>
  <c r="M2" i="4"/>
  <c r="L62" i="4"/>
  <c r="L60" i="4"/>
  <c r="L53" i="4"/>
  <c r="L43" i="4"/>
  <c r="L27" i="4"/>
  <c r="L34" i="4"/>
  <c r="L59" i="4"/>
  <c r="L42" i="4"/>
  <c r="L48" i="4"/>
  <c r="L54" i="4"/>
  <c r="L57" i="4"/>
  <c r="L35" i="4"/>
  <c r="L30" i="4"/>
  <c r="L58" i="4"/>
  <c r="L45" i="4"/>
  <c r="L44" i="4"/>
  <c r="L29" i="4"/>
  <c r="L33" i="4"/>
  <c r="L55" i="4"/>
  <c r="L46" i="4"/>
  <c r="L40" i="4"/>
  <c r="L70" i="4"/>
  <c r="L50" i="4"/>
  <c r="L19" i="4"/>
  <c r="L31" i="4"/>
  <c r="L38" i="4"/>
  <c r="L56" i="4"/>
  <c r="L61" i="4"/>
  <c r="L36" i="4"/>
  <c r="L9" i="4"/>
  <c r="L14" i="4"/>
  <c r="L13" i="4"/>
  <c r="L21" i="4"/>
  <c r="L20" i="4"/>
  <c r="L18" i="4"/>
  <c r="L11" i="4"/>
  <c r="L10" i="4"/>
  <c r="L15" i="4"/>
  <c r="L12" i="4"/>
  <c r="L16" i="4"/>
  <c r="L17" i="4"/>
  <c r="L22" i="4"/>
  <c r="L23" i="4"/>
  <c r="M2" i="8"/>
  <c r="L63" i="8"/>
  <c r="L47" i="8"/>
  <c r="L58" i="8"/>
  <c r="L57" i="8"/>
  <c r="L35" i="8"/>
  <c r="L26" i="8"/>
  <c r="L54" i="8"/>
  <c r="L43" i="8"/>
  <c r="L59" i="8"/>
  <c r="L32" i="8"/>
  <c r="L49" i="8"/>
  <c r="L37" i="8"/>
  <c r="L46" i="8"/>
  <c r="L38" i="8"/>
  <c r="L36" i="8"/>
  <c r="L45" i="8"/>
  <c r="L55" i="8"/>
  <c r="L51" i="8"/>
  <c r="L2" i="8" s="1"/>
  <c r="L28" i="8"/>
  <c r="L39" i="8"/>
  <c r="L31" i="8"/>
  <c r="L33" i="8"/>
  <c r="L61" i="8"/>
  <c r="L48" i="8"/>
  <c r="L34" i="8"/>
  <c r="L29" i="8"/>
  <c r="L56" i="8"/>
  <c r="L60" i="8"/>
  <c r="L73" i="8"/>
  <c r="L44" i="8"/>
  <c r="L30" i="8"/>
  <c r="L62" i="8"/>
  <c r="L21" i="8"/>
  <c r="L16" i="8"/>
  <c r="L22" i="8"/>
  <c r="L15" i="8"/>
  <c r="L41" i="8"/>
  <c r="L9" i="8"/>
  <c r="L71" i="8"/>
  <c r="L20" i="8"/>
  <c r="L17" i="8"/>
  <c r="L18" i="8"/>
  <c r="L12" i="8"/>
  <c r="L19" i="8"/>
  <c r="L14" i="8"/>
  <c r="L13" i="8"/>
  <c r="L11" i="8"/>
  <c r="L10" i="8"/>
  <c r="M2" i="12"/>
  <c r="L49" i="12"/>
  <c r="L32" i="12"/>
  <c r="L48" i="12"/>
  <c r="L31" i="12"/>
  <c r="L38" i="12"/>
  <c r="L50" i="12"/>
  <c r="L29" i="12"/>
  <c r="L57" i="12"/>
  <c r="L45" i="12"/>
  <c r="L56" i="12"/>
  <c r="L64" i="12"/>
  <c r="L55" i="12"/>
  <c r="L39" i="12"/>
  <c r="L42" i="12"/>
  <c r="L17" i="12"/>
  <c r="L37" i="12"/>
  <c r="L74" i="12"/>
  <c r="L58" i="12"/>
  <c r="L52" i="12"/>
  <c r="L35" i="12"/>
  <c r="L44" i="12"/>
  <c r="L61" i="12"/>
  <c r="L33" i="12"/>
  <c r="L46" i="12"/>
  <c r="L47" i="12"/>
  <c r="L62" i="12"/>
  <c r="L60" i="12"/>
  <c r="L59" i="12"/>
  <c r="L9" i="12"/>
  <c r="L40" i="12"/>
  <c r="L13" i="12"/>
  <c r="L34" i="12"/>
  <c r="L36" i="12"/>
  <c r="L30" i="12"/>
  <c r="L63" i="12"/>
  <c r="L12" i="12"/>
  <c r="L72" i="12"/>
  <c r="L19" i="12"/>
  <c r="L10" i="12"/>
  <c r="L21" i="12"/>
  <c r="L15" i="12"/>
  <c r="L11" i="12"/>
  <c r="L27" i="12"/>
  <c r="L14" i="12"/>
  <c r="L20" i="12"/>
  <c r="L16" i="12"/>
  <c r="L23" i="12"/>
  <c r="L18" i="12"/>
  <c r="L22" i="12"/>
  <c r="L59" i="21"/>
  <c r="L34" i="21"/>
  <c r="M2" i="21"/>
  <c r="L47" i="21"/>
  <c r="L31" i="21"/>
  <c r="L62" i="21"/>
  <c r="L37" i="21"/>
  <c r="L45" i="21"/>
  <c r="L54" i="21"/>
  <c r="L69" i="21"/>
  <c r="L57" i="21"/>
  <c r="L44" i="21"/>
  <c r="L58" i="21"/>
  <c r="L46" i="21"/>
  <c r="L60" i="21"/>
  <c r="L30" i="21"/>
  <c r="L63" i="21"/>
  <c r="L38" i="21"/>
  <c r="L61" i="21"/>
  <c r="L43" i="21"/>
  <c r="L67" i="21"/>
  <c r="L49" i="21"/>
  <c r="L51" i="21"/>
  <c r="L2" i="21" s="1"/>
  <c r="L39" i="21"/>
  <c r="L56" i="21"/>
  <c r="L36" i="21"/>
  <c r="L32" i="21"/>
  <c r="L33" i="21"/>
  <c r="L48" i="21"/>
  <c r="L55" i="21"/>
  <c r="L35" i="21"/>
  <c r="L13" i="21"/>
  <c r="L12" i="21"/>
  <c r="L17" i="21"/>
  <c r="L22" i="21"/>
  <c r="L16" i="21"/>
  <c r="L23" i="21"/>
  <c r="L11" i="21"/>
  <c r="L24" i="21"/>
  <c r="L41" i="21"/>
  <c r="L15" i="21"/>
  <c r="L9" i="21"/>
  <c r="L21" i="21"/>
  <c r="L20" i="21"/>
  <c r="L18" i="21"/>
  <c r="L14" i="21"/>
  <c r="L28" i="21"/>
  <c r="L19" i="21"/>
  <c r="L10" i="21"/>
  <c r="L40" i="14"/>
  <c r="L33" i="14"/>
  <c r="L71" i="14"/>
  <c r="M2" i="14"/>
  <c r="L54" i="14"/>
  <c r="L61" i="14"/>
  <c r="L50" i="14"/>
  <c r="L60" i="14"/>
  <c r="L66" i="14"/>
  <c r="L77" i="14"/>
  <c r="L42" i="14"/>
  <c r="L21" i="14"/>
  <c r="L41" i="14"/>
  <c r="L51" i="14"/>
  <c r="L62" i="14"/>
  <c r="L34" i="14"/>
  <c r="L49" i="14"/>
  <c r="L67" i="14"/>
  <c r="L48" i="14"/>
  <c r="L59" i="14"/>
  <c r="L69" i="14"/>
  <c r="L65" i="14"/>
  <c r="L39" i="14"/>
  <c r="L35" i="14"/>
  <c r="L52" i="14"/>
  <c r="L70" i="14"/>
  <c r="L36" i="14"/>
  <c r="L37" i="14"/>
  <c r="L38" i="14"/>
  <c r="L43" i="14"/>
  <c r="L64" i="14"/>
  <c r="L53" i="14"/>
  <c r="L68" i="14"/>
  <c r="L22" i="14"/>
  <c r="L63" i="14"/>
  <c r="L44" i="14"/>
  <c r="L13" i="14"/>
  <c r="L23" i="14"/>
  <c r="L16" i="14"/>
  <c r="L31" i="14"/>
  <c r="L75" i="14"/>
  <c r="L56" i="14"/>
  <c r="L26" i="14"/>
  <c r="L20" i="14"/>
  <c r="L46" i="14"/>
  <c r="L15" i="14"/>
  <c r="L12" i="14"/>
  <c r="L11" i="14"/>
  <c r="L27" i="14"/>
  <c r="L10" i="14"/>
  <c r="L14" i="14"/>
  <c r="L18" i="14"/>
  <c r="L17" i="14"/>
  <c r="L19" i="14"/>
  <c r="L24" i="14"/>
  <c r="L25" i="14"/>
  <c r="L9" i="14"/>
  <c r="L71" i="15"/>
  <c r="L70" i="23"/>
  <c r="L25" i="4"/>
  <c r="L56" i="17"/>
  <c r="L31" i="17"/>
  <c r="L62" i="17"/>
  <c r="L45" i="17"/>
  <c r="M2" i="17"/>
  <c r="L47" i="17"/>
  <c r="L43" i="17"/>
  <c r="L68" i="17"/>
  <c r="L46" i="17"/>
  <c r="L54" i="17"/>
  <c r="L48" i="17"/>
  <c r="L53" i="17"/>
  <c r="L38" i="17"/>
  <c r="L57" i="17"/>
  <c r="L42" i="17"/>
  <c r="L55" i="17"/>
  <c r="L37" i="17"/>
  <c r="L58" i="17"/>
  <c r="L30" i="17"/>
  <c r="L60" i="17"/>
  <c r="L61" i="17"/>
  <c r="L50" i="17"/>
  <c r="L59" i="17"/>
  <c r="L32" i="17"/>
  <c r="L29" i="17"/>
  <c r="L34" i="17"/>
  <c r="L44" i="17"/>
  <c r="L35" i="17"/>
  <c r="L36" i="17"/>
  <c r="L33" i="17"/>
  <c r="L27" i="17"/>
  <c r="L13" i="17"/>
  <c r="L20" i="17"/>
  <c r="L18" i="17"/>
  <c r="L15" i="17"/>
  <c r="L14" i="17"/>
  <c r="L40" i="17"/>
  <c r="L66" i="17"/>
  <c r="L19" i="17"/>
  <c r="L10" i="17"/>
  <c r="L17" i="17"/>
  <c r="L22" i="17"/>
  <c r="L23" i="17"/>
  <c r="L9" i="17"/>
  <c r="L11" i="17"/>
  <c r="L12" i="17"/>
  <c r="L21" i="17"/>
  <c r="L16" i="17"/>
  <c r="L46" i="18"/>
  <c r="L45" i="18"/>
  <c r="L61" i="18"/>
  <c r="L36" i="18"/>
  <c r="L53" i="18"/>
  <c r="L68" i="18"/>
  <c r="L47" i="18"/>
  <c r="L34" i="18"/>
  <c r="L58" i="18"/>
  <c r="L33" i="18"/>
  <c r="M2" i="18"/>
  <c r="L32" i="18"/>
  <c r="L43" i="18"/>
  <c r="L57" i="18"/>
  <c r="L35" i="18"/>
  <c r="L31" i="18"/>
  <c r="L40" i="18"/>
  <c r="L30" i="18"/>
  <c r="L60" i="18"/>
  <c r="L37" i="18"/>
  <c r="L50" i="18"/>
  <c r="L2" i="18" s="1"/>
  <c r="L59" i="18"/>
  <c r="L29" i="18"/>
  <c r="L55" i="18"/>
  <c r="L42" i="18"/>
  <c r="L62" i="18"/>
  <c r="L48" i="18"/>
  <c r="L54" i="18"/>
  <c r="L56" i="18"/>
  <c r="L44" i="18"/>
  <c r="L38" i="18"/>
  <c r="L9" i="18"/>
  <c r="L66" i="18"/>
  <c r="L19" i="18"/>
  <c r="L20" i="18"/>
  <c r="L12" i="18"/>
  <c r="L23" i="18"/>
  <c r="L27" i="18"/>
  <c r="L15" i="18"/>
  <c r="L21" i="18"/>
  <c r="L18" i="18"/>
  <c r="L16" i="18"/>
  <c r="L14" i="18"/>
  <c r="L17" i="18"/>
  <c r="L13" i="18"/>
  <c r="L10" i="18"/>
  <c r="L22" i="18"/>
  <c r="L11" i="18"/>
  <c r="L47" i="16"/>
  <c r="L56" i="16"/>
  <c r="L31" i="16"/>
  <c r="L46" i="16"/>
  <c r="L45" i="16"/>
  <c r="L35" i="16"/>
  <c r="L60" i="16"/>
  <c r="M2" i="16"/>
  <c r="L34" i="16"/>
  <c r="L55" i="16"/>
  <c r="L61" i="16"/>
  <c r="L29" i="16"/>
  <c r="L36" i="16"/>
  <c r="L40" i="16"/>
  <c r="L53" i="16"/>
  <c r="L43" i="16"/>
  <c r="L32" i="16"/>
  <c r="L38" i="16"/>
  <c r="L57" i="16"/>
  <c r="L58" i="16"/>
  <c r="L42" i="16"/>
  <c r="L62" i="16"/>
  <c r="L68" i="16"/>
  <c r="L48" i="16"/>
  <c r="L44" i="16"/>
  <c r="L33" i="16"/>
  <c r="L59" i="16"/>
  <c r="L30" i="16"/>
  <c r="L37" i="16"/>
  <c r="L54" i="16"/>
  <c r="L18" i="16"/>
  <c r="L50" i="16"/>
  <c r="L2" i="16" s="1"/>
  <c r="L66" i="16"/>
  <c r="L27" i="16"/>
  <c r="L9" i="16"/>
  <c r="L14" i="16"/>
  <c r="L16" i="16"/>
  <c r="L11" i="16"/>
  <c r="L23" i="16"/>
  <c r="L12" i="16"/>
  <c r="L20" i="16"/>
  <c r="L15" i="16"/>
  <c r="L21" i="16"/>
  <c r="L13" i="16"/>
  <c r="L17" i="16"/>
  <c r="L22" i="16"/>
  <c r="L10" i="16"/>
  <c r="L19" i="16"/>
  <c r="L38" i="13"/>
  <c r="L46" i="13"/>
  <c r="L61" i="13"/>
  <c r="L34" i="13"/>
  <c r="M2" i="13"/>
  <c r="L63" i="13"/>
  <c r="L74" i="13"/>
  <c r="L40" i="13"/>
  <c r="L39" i="13"/>
  <c r="L50" i="13"/>
  <c r="L37" i="13"/>
  <c r="L35" i="13"/>
  <c r="L45" i="13"/>
  <c r="L57" i="13"/>
  <c r="L64" i="13"/>
  <c r="L62" i="13"/>
  <c r="L47" i="13"/>
  <c r="L55" i="13"/>
  <c r="L18" i="13"/>
  <c r="L29" i="13"/>
  <c r="L56" i="13"/>
  <c r="L59" i="13"/>
  <c r="L60" i="13"/>
  <c r="L49" i="13"/>
  <c r="L31" i="13"/>
  <c r="L36" i="13"/>
  <c r="L75" i="13"/>
  <c r="L44" i="13"/>
  <c r="L33" i="13"/>
  <c r="L32" i="13"/>
  <c r="L48" i="13"/>
  <c r="L58" i="13"/>
  <c r="L30" i="13"/>
  <c r="L72" i="13"/>
  <c r="L52" i="13"/>
  <c r="L19" i="13"/>
  <c r="L42" i="13"/>
  <c r="L10" i="13"/>
  <c r="L12" i="13"/>
  <c r="L13" i="13"/>
  <c r="L14" i="13"/>
  <c r="L17" i="13"/>
  <c r="L22" i="13"/>
  <c r="L27" i="13"/>
  <c r="L16" i="13"/>
  <c r="L21" i="13"/>
  <c r="L9" i="13"/>
  <c r="L15" i="13"/>
  <c r="L11" i="13"/>
  <c r="L23" i="13"/>
  <c r="L20" i="13"/>
  <c r="L72" i="20"/>
  <c r="L25" i="18"/>
  <c r="L75" i="4"/>
  <c r="L27" i="9"/>
  <c r="L71" i="18"/>
  <c r="L71" i="16"/>
  <c r="L25" i="13"/>
  <c r="L72" i="21"/>
  <c r="L37" i="10"/>
  <c r="L60" i="10"/>
  <c r="L49" i="10"/>
  <c r="L39" i="10"/>
  <c r="L59" i="10"/>
  <c r="L48" i="10"/>
  <c r="L38" i="10"/>
  <c r="L29" i="10"/>
  <c r="M2" i="10"/>
  <c r="L33" i="10"/>
  <c r="L55" i="10"/>
  <c r="L52" i="10"/>
  <c r="L58" i="10"/>
  <c r="L50" i="10"/>
  <c r="L62" i="10"/>
  <c r="L64" i="10"/>
  <c r="L30" i="10"/>
  <c r="L56" i="10"/>
  <c r="L36" i="10"/>
  <c r="L57" i="10"/>
  <c r="L32" i="10"/>
  <c r="L61" i="10"/>
  <c r="L45" i="10"/>
  <c r="L42" i="10"/>
  <c r="L63" i="10"/>
  <c r="L47" i="10"/>
  <c r="L34" i="10"/>
  <c r="L40" i="10"/>
  <c r="L35" i="10"/>
  <c r="L44" i="10"/>
  <c r="L74" i="10"/>
  <c r="L31" i="10"/>
  <c r="L46" i="10"/>
  <c r="L13" i="10"/>
  <c r="L21" i="10"/>
  <c r="L15" i="10"/>
  <c r="L27" i="10"/>
  <c r="L72" i="10"/>
  <c r="L14" i="10"/>
  <c r="L19" i="10"/>
  <c r="L17" i="10"/>
  <c r="L22" i="10"/>
  <c r="L16" i="10"/>
  <c r="L12" i="10"/>
  <c r="L18" i="10"/>
  <c r="L23" i="10"/>
  <c r="L20" i="10"/>
  <c r="L11" i="10"/>
  <c r="L10" i="10"/>
  <c r="L9" i="10"/>
  <c r="L36" i="6"/>
  <c r="L35" i="6"/>
  <c r="L30" i="6"/>
  <c r="L62" i="6"/>
  <c r="L34" i="6"/>
  <c r="L49" i="6"/>
  <c r="L59" i="6"/>
  <c r="L39" i="6"/>
  <c r="L32" i="6"/>
  <c r="L31" i="6"/>
  <c r="M2" i="6"/>
  <c r="L73" i="6"/>
  <c r="L47" i="6"/>
  <c r="L46" i="6"/>
  <c r="L29" i="6"/>
  <c r="L54" i="6"/>
  <c r="L33" i="6"/>
  <c r="L44" i="6"/>
  <c r="L63" i="6"/>
  <c r="L51" i="6"/>
  <c r="L60" i="6"/>
  <c r="L43" i="6"/>
  <c r="L61" i="6"/>
  <c r="L57" i="6"/>
  <c r="L28" i="6"/>
  <c r="L48" i="6"/>
  <c r="L38" i="6"/>
  <c r="L26" i="6"/>
  <c r="L37" i="6"/>
  <c r="L56" i="6"/>
  <c r="L58" i="6"/>
  <c r="L45" i="6"/>
  <c r="L55" i="6"/>
  <c r="L20" i="6"/>
  <c r="L41" i="6"/>
  <c r="L71" i="6"/>
  <c r="L9" i="6"/>
  <c r="L14" i="6"/>
  <c r="L19" i="6"/>
  <c r="L12" i="6"/>
  <c r="L10" i="6"/>
  <c r="L13" i="6"/>
  <c r="L15" i="6"/>
  <c r="L16" i="6"/>
  <c r="L17" i="6"/>
  <c r="L21" i="6"/>
  <c r="L18" i="6"/>
  <c r="L22" i="6"/>
  <c r="L11" i="6"/>
  <c r="L2" i="19"/>
  <c r="L25" i="10"/>
  <c r="L76" i="6"/>
  <c r="L26" i="21"/>
  <c r="M2" i="23"/>
  <c r="L55" i="23"/>
  <c r="L54" i="23"/>
  <c r="L67" i="23"/>
  <c r="L60" i="23"/>
  <c r="L34" i="23"/>
  <c r="L33" i="23"/>
  <c r="L35" i="23"/>
  <c r="L59" i="23"/>
  <c r="L46" i="23"/>
  <c r="L43" i="23"/>
  <c r="L44" i="23"/>
  <c r="L58" i="23"/>
  <c r="L36" i="23"/>
  <c r="L47" i="23"/>
  <c r="L30" i="23"/>
  <c r="L52" i="23"/>
  <c r="L32" i="23"/>
  <c r="L45" i="23"/>
  <c r="L56" i="23"/>
  <c r="L61" i="23"/>
  <c r="L57" i="23"/>
  <c r="L53" i="23"/>
  <c r="L38" i="23"/>
  <c r="L37" i="23"/>
  <c r="L39" i="23"/>
  <c r="L49" i="23"/>
  <c r="L31" i="23"/>
  <c r="L41" i="23"/>
  <c r="L65" i="23"/>
  <c r="L28" i="23"/>
  <c r="L21" i="23"/>
  <c r="L11" i="23"/>
  <c r="L17" i="23"/>
  <c r="L12" i="23"/>
  <c r="L18" i="23"/>
  <c r="L23" i="23"/>
  <c r="L22" i="23"/>
  <c r="L24" i="23"/>
  <c r="L14" i="23"/>
  <c r="L20" i="23"/>
  <c r="L10" i="23"/>
  <c r="L9" i="23"/>
  <c r="L19" i="23"/>
  <c r="L15" i="23"/>
  <c r="L13" i="23"/>
  <c r="L16" i="23"/>
  <c r="L2" i="7"/>
  <c r="L29" i="14"/>
  <c r="L71" i="17"/>
  <c r="L30" i="20"/>
  <c r="L60" i="20"/>
  <c r="L44" i="20"/>
  <c r="L59" i="20"/>
  <c r="L43" i="20"/>
  <c r="L49" i="20"/>
  <c r="M2" i="20"/>
  <c r="L33" i="20"/>
  <c r="L57" i="20"/>
  <c r="L38" i="20"/>
  <c r="L62" i="20"/>
  <c r="L46" i="20"/>
  <c r="L32" i="20"/>
  <c r="L58" i="20"/>
  <c r="L36" i="20"/>
  <c r="L41" i="20"/>
  <c r="L48" i="20"/>
  <c r="L51" i="20"/>
  <c r="L37" i="20"/>
  <c r="L45" i="20"/>
  <c r="L63" i="20"/>
  <c r="L34" i="20"/>
  <c r="L31" i="20"/>
  <c r="L61" i="20"/>
  <c r="L47" i="20"/>
  <c r="L54" i="20"/>
  <c r="L35" i="20"/>
  <c r="L56" i="20"/>
  <c r="L39" i="20"/>
  <c r="L69" i="20"/>
  <c r="L55" i="20"/>
  <c r="L18" i="20"/>
  <c r="L23" i="20"/>
  <c r="L24" i="20"/>
  <c r="L14" i="20"/>
  <c r="L12" i="20"/>
  <c r="L13" i="20"/>
  <c r="L19" i="20"/>
  <c r="L17" i="20"/>
  <c r="L67" i="20"/>
  <c r="L16" i="20"/>
  <c r="L10" i="20"/>
  <c r="L21" i="20"/>
  <c r="L9" i="20"/>
  <c r="L15" i="20"/>
  <c r="L11" i="20"/>
  <c r="L28" i="20"/>
  <c r="L20" i="20"/>
  <c r="L22" i="20"/>
  <c r="L2" i="5"/>
  <c r="L59" i="11"/>
  <c r="M2" i="11"/>
  <c r="L37" i="11"/>
  <c r="L29" i="11"/>
  <c r="L58" i="11"/>
  <c r="L56" i="11"/>
  <c r="L32" i="11"/>
  <c r="L63" i="11"/>
  <c r="L62" i="11"/>
  <c r="L61" i="11"/>
  <c r="L33" i="11"/>
  <c r="L40" i="11"/>
  <c r="L55" i="11"/>
  <c r="L31" i="11"/>
  <c r="L36" i="11"/>
  <c r="L35" i="11"/>
  <c r="L50" i="11"/>
  <c r="L60" i="11"/>
  <c r="L64" i="11"/>
  <c r="L44" i="11"/>
  <c r="L30" i="11"/>
  <c r="L47" i="11"/>
  <c r="L74" i="11"/>
  <c r="L34" i="11"/>
  <c r="L72" i="11"/>
  <c r="L49" i="11"/>
  <c r="L10" i="11"/>
  <c r="L45" i="11"/>
  <c r="L38" i="11"/>
  <c r="L46" i="11"/>
  <c r="L57" i="11"/>
  <c r="L39" i="11"/>
  <c r="L48" i="11"/>
  <c r="L17" i="11"/>
  <c r="L27" i="11"/>
  <c r="L21" i="11"/>
  <c r="L23" i="11"/>
  <c r="L16" i="11"/>
  <c r="L22" i="11"/>
  <c r="L42" i="11"/>
  <c r="L11" i="11"/>
  <c r="L52" i="11"/>
  <c r="L13" i="11"/>
  <c r="L18" i="11"/>
  <c r="L15" i="11"/>
  <c r="L12" i="11"/>
  <c r="L19" i="11"/>
  <c r="L9" i="11"/>
  <c r="L20" i="11"/>
  <c r="L14" i="11"/>
  <c r="L25" i="11"/>
  <c r="L24" i="6"/>
  <c r="L2" i="9" l="1"/>
  <c r="L2" i="4"/>
  <c r="L2" i="11"/>
  <c r="L2" i="15"/>
  <c r="L2" i="10"/>
  <c r="L2" i="20"/>
  <c r="L2" i="17"/>
  <c r="L2" i="12"/>
  <c r="L2" i="13"/>
  <c r="L2" i="6"/>
  <c r="L2" i="14"/>
  <c r="L2" i="23"/>
</calcChain>
</file>

<file path=xl/sharedStrings.xml><?xml version="1.0" encoding="utf-8"?>
<sst xmlns="http://schemas.openxmlformats.org/spreadsheetml/2006/main" count="3889" uniqueCount="223">
  <si>
    <t>Daily P&amp;L</t>
  </si>
  <si>
    <t>Financial Instrument</t>
  </si>
  <si>
    <t>Company Name</t>
  </si>
  <si>
    <t>Trading Currency</t>
  </si>
  <si>
    <t>Exchange</t>
  </si>
  <si>
    <t>Position</t>
  </si>
  <si>
    <t>Market Value</t>
  </si>
  <si>
    <t>Avg Price</t>
  </si>
  <si>
    <t>Last</t>
  </si>
  <si>
    <t>Unrealized P&amp;L</t>
  </si>
  <si>
    <t>Change %</t>
  </si>
  <si>
    <t>ALGN</t>
  </si>
  <si>
    <t>ALIGN TECHNOLOGY INC</t>
  </si>
  <si>
    <t>USD</t>
  </si>
  <si>
    <t>SMART</t>
  </si>
  <si>
    <t>C436.57</t>
  </si>
  <si>
    <t>CARR</t>
  </si>
  <si>
    <t>CARRIER GLOBAL CORP</t>
  </si>
  <si>
    <t>C34.07</t>
  </si>
  <si>
    <t>CMG</t>
  </si>
  <si>
    <t>CHIPOTLE MEXICAN GRILL INC</t>
  </si>
  <si>
    <t>C1242.80</t>
  </si>
  <si>
    <t>NoMD</t>
  </si>
  <si>
    <t>DOCU</t>
  </si>
  <si>
    <t>DOCUSIGN INC</t>
  </si>
  <si>
    <t>FCX</t>
  </si>
  <si>
    <t>FREEPORT-MCMORAN INC</t>
  </si>
  <si>
    <t>C17.48</t>
  </si>
  <si>
    <t>FDX</t>
  </si>
  <si>
    <t>FEDEX CORPORATION</t>
  </si>
  <si>
    <t>C267.02</t>
  </si>
  <si>
    <t>GPS</t>
  </si>
  <si>
    <t>GAP INC/THE</t>
  </si>
  <si>
    <t>C19.65</t>
  </si>
  <si>
    <t>IAU</t>
  </si>
  <si>
    <t>ISHARES GOLD TRUST</t>
  </si>
  <si>
    <t>C17.82</t>
  </si>
  <si>
    <t>JD</t>
  </si>
  <si>
    <t>JD.COM INC-ADR</t>
  </si>
  <si>
    <t>C83.04</t>
  </si>
  <si>
    <t>LB</t>
  </si>
  <si>
    <t>L BRANDS INC</t>
  </si>
  <si>
    <t>C32.87</t>
  </si>
  <si>
    <t>MELI</t>
  </si>
  <si>
    <t>MERCADOLIBRE INC</t>
  </si>
  <si>
    <t>C1300.98</t>
  </si>
  <si>
    <t>NVDA</t>
  </si>
  <si>
    <t>NVIDIA CORP</t>
  </si>
  <si>
    <t>C520.96</t>
  </si>
  <si>
    <t>PWR</t>
  </si>
  <si>
    <t>QUANTA SERVICES INC</t>
  </si>
  <si>
    <t>C62.66</t>
  </si>
  <si>
    <t>PYPL</t>
  </si>
  <si>
    <t>PAYPAL HOLDINGS INC</t>
  </si>
  <si>
    <t>C195.04</t>
  </si>
  <si>
    <t>TSLA</t>
  </si>
  <si>
    <t>TESLA INC</t>
  </si>
  <si>
    <t>WHR</t>
  </si>
  <si>
    <t>WHIRLPOOL CORP</t>
  </si>
  <si>
    <t>C186.38</t>
  </si>
  <si>
    <t>ZM</t>
  </si>
  <si>
    <t>ZOOM VIDEO COMMUNICATIONS-A</t>
  </si>
  <si>
    <t>C489.68</t>
  </si>
  <si>
    <t>AH Nov18'20 @LMEOTC</t>
  </si>
  <si>
    <t>High-Grade Primary Aluminium</t>
  </si>
  <si>
    <t>LMEOTC</t>
  </si>
  <si>
    <t>C1805.00</t>
  </si>
  <si>
    <t>BTP Dec08'20 @DTB</t>
  </si>
  <si>
    <t>Euro-BTP Italian Government Bond</t>
  </si>
  <si>
    <t>EUR</t>
  </si>
  <si>
    <t>DTB</t>
  </si>
  <si>
    <t>BTS Dec08'20 @DTB</t>
  </si>
  <si>
    <t>Short-Term Euro-BTP Italian Government Bond</t>
  </si>
  <si>
    <t>CA Nov18'20 @LMEOTC</t>
  </si>
  <si>
    <t>Grade A Copper - LME</t>
  </si>
  <si>
    <t>C6724.00</t>
  </si>
  <si>
    <t>CGB Dec18'20 @CDE</t>
  </si>
  <si>
    <t>10 Year Government of Canada Bonds</t>
  </si>
  <si>
    <t>CAD</t>
  </si>
  <si>
    <t>CDE</t>
  </si>
  <si>
    <t>GBX Dec08'20 @DTB</t>
  </si>
  <si>
    <t>Euro Buxl (15 - 30 Year Bond)</t>
  </si>
  <si>
    <t>GE Dec14'20 @GLOBEX</t>
  </si>
  <si>
    <t>GLOBEX Euro-Dollar</t>
  </si>
  <si>
    <t>GLOBEX</t>
  </si>
  <si>
    <t>L Dec16'20 @ICEEU</t>
  </si>
  <si>
    <t>3 Month Sterling Interest Rate FUT</t>
  </si>
  <si>
    <t>GBP</t>
  </si>
  <si>
    <t>ICEEU</t>
  </si>
  <si>
    <t>NG Dec'20 @NYMEX</t>
  </si>
  <si>
    <t>Henry Hub Natural Gas</t>
  </si>
  <si>
    <t>NYMEX</t>
  </si>
  <si>
    <t>NI Nov18'20 @LMEOTC</t>
  </si>
  <si>
    <t>Nickel - LME</t>
  </si>
  <si>
    <t>PA Dec29'20 @NYMEX</t>
  </si>
  <si>
    <t>NYMEX Palladium Index</t>
  </si>
  <si>
    <t>RB Dec'20 @NYMEX</t>
  </si>
  <si>
    <t>NYMEX RBOB Gasoline Index</t>
  </si>
  <si>
    <t>SCI Dec31'20 @SGX</t>
  </si>
  <si>
    <t>SGX TSI Iron Ore Futures</t>
  </si>
  <si>
    <t>SGX</t>
  </si>
  <si>
    <t>SNLME Nov18'20 @LMEOTC</t>
  </si>
  <si>
    <t>Tin future</t>
  </si>
  <si>
    <t>C17830.00</t>
  </si>
  <si>
    <t>SOFR1 Nov30'20 @GLOBEX</t>
  </si>
  <si>
    <t>Secured Overnight Financing Rate 1-month average of rates</t>
  </si>
  <si>
    <t>C99.9200</t>
  </si>
  <si>
    <t>SOFR3 Sep'20 @GLOBEX</t>
  </si>
  <si>
    <t>Secured Overnight Financing Rate 3-month average of rates</t>
  </si>
  <si>
    <t>TN Dec21'20 @ECBOT</t>
  </si>
  <si>
    <t>Ultra 10-Year US Treasury Note</t>
  </si>
  <si>
    <t>ECBOT</t>
  </si>
  <si>
    <t>157'255</t>
  </si>
  <si>
    <t>TSR20 Jan'21 @SGX</t>
  </si>
  <si>
    <t>SICOM Rubber</t>
  </si>
  <si>
    <t>UB Dec21'20 @ECBOT</t>
  </si>
  <si>
    <t>Ultra Treasury Bond</t>
  </si>
  <si>
    <t>216'130</t>
  </si>
  <si>
    <t>VIX Nov18'20 @CFE</t>
  </si>
  <si>
    <t>CBOE Volatility Index</t>
  </si>
  <si>
    <t>CFE</t>
  </si>
  <si>
    <t>ZB Dec21'20 @ECBOT</t>
  </si>
  <si>
    <t>30 Year US Treasury Bond</t>
  </si>
  <si>
    <t>173'050</t>
  </si>
  <si>
    <t>ZF Dec31'20 @ECBOT</t>
  </si>
  <si>
    <t>5 Year US Treasury Note</t>
  </si>
  <si>
    <t>125'215</t>
  </si>
  <si>
    <t>ZN Dec21'20 @ECBOT</t>
  </si>
  <si>
    <t>10 Year US Treasury Note</t>
  </si>
  <si>
    <t>138'150</t>
  </si>
  <si>
    <t>ZQ Nov30'20 @ECBOT</t>
  </si>
  <si>
    <t>30 Day Fed Funds</t>
  </si>
  <si>
    <t>ZSLME Nov18'20 @LMEOTC</t>
  </si>
  <si>
    <t>Special High Grade Zinc</t>
  </si>
  <si>
    <t>C2524.00</t>
  </si>
  <si>
    <t>ZT Dec31'20 @ECBOT</t>
  </si>
  <si>
    <t>2 Year US Treasury Note</t>
  </si>
  <si>
    <t>110'137</t>
  </si>
  <si>
    <t>Date</t>
  </si>
  <si>
    <t>Total target value allocation</t>
  </si>
  <si>
    <t>Total Current value Allocation</t>
  </si>
  <si>
    <t>Total Percentage</t>
  </si>
  <si>
    <t>Current Leverage</t>
  </si>
  <si>
    <t>Leverage Multiplier</t>
  </si>
  <si>
    <t>Current NAV</t>
  </si>
  <si>
    <t>Total target value allocation exclude bonds</t>
  </si>
  <si>
    <t>Leverage exclude bonds</t>
  </si>
  <si>
    <t>Subscription</t>
  </si>
  <si>
    <t>Redemption</t>
  </si>
  <si>
    <t>Final NAV</t>
  </si>
  <si>
    <t>Category</t>
  </si>
  <si>
    <t>IB Ticker</t>
  </si>
  <si>
    <t>Target Allocation (%)</t>
  </si>
  <si>
    <t>Target Value Allocation (USD)</t>
  </si>
  <si>
    <t>Last price</t>
  </si>
  <si>
    <t>Target Quantity</t>
  </si>
  <si>
    <t>Previous Quantity</t>
  </si>
  <si>
    <t>Current Quantity</t>
  </si>
  <si>
    <t>Change</t>
  </si>
  <si>
    <t>Current Value Allocation</t>
  </si>
  <si>
    <t>Current Allocation Percentage</t>
  </si>
  <si>
    <t>Comments</t>
  </si>
  <si>
    <t>Equity</t>
  </si>
  <si>
    <t>AMZN</t>
  </si>
  <si>
    <t>AMAZON.COM INC</t>
  </si>
  <si>
    <t>WST</t>
  </si>
  <si>
    <t>WEST PHARMACEUTICAL SERVICES</t>
  </si>
  <si>
    <t>UPS</t>
  </si>
  <si>
    <t>UNITED PARCEL SERVICE-CL B</t>
  </si>
  <si>
    <t>SGEN</t>
  </si>
  <si>
    <t>SEATTLE GENETICS INC</t>
  </si>
  <si>
    <t>CMI</t>
  </si>
  <si>
    <t>CUMMINS INC</t>
  </si>
  <si>
    <t>AMD</t>
  </si>
  <si>
    <t>ADVANCED MICRO DEVICES</t>
  </si>
  <si>
    <t>Equity Total</t>
  </si>
  <si>
    <t>US Bond</t>
  </si>
  <si>
    <t>Global Bond</t>
  </si>
  <si>
    <t>3KTB Dec15'20 @KSE</t>
  </si>
  <si>
    <t>3-Year Korea Treasury Bond</t>
  </si>
  <si>
    <t>FLKTB Dec15'20 @KSE</t>
  </si>
  <si>
    <t>10-Year Korea Treasury Bond</t>
  </si>
  <si>
    <t>Bonds Total</t>
  </si>
  <si>
    <t>ZQ Oct30'20 @ECBOT</t>
  </si>
  <si>
    <t>SOFR1 Oct30'20 @GLOBEX</t>
  </si>
  <si>
    <t>L Oct21'20 @ICEEU</t>
  </si>
  <si>
    <t>IB Oct30'20 @SNFE</t>
  </si>
  <si>
    <t>30 Day Interbank Cash Rate</t>
  </si>
  <si>
    <t>IR Dec10'20 @SNFE</t>
  </si>
  <si>
    <t>90 Day Bills</t>
  </si>
  <si>
    <t>Short-term Bonds Total</t>
  </si>
  <si>
    <t>Commodity</t>
  </si>
  <si>
    <t>AH Oct21'20 @LMEOTC</t>
  </si>
  <si>
    <t>CA Oct21'20 @LMEOTC</t>
  </si>
  <si>
    <t xml:space="preserve"> </t>
  </si>
  <si>
    <t>NI Oct21'20 @LMEOTC</t>
  </si>
  <si>
    <t>PB Oct21'20 @LMEOTC</t>
  </si>
  <si>
    <t>Lead - LME</t>
  </si>
  <si>
    <t>PL Jan27'21 @NYMEX</t>
  </si>
  <si>
    <t>NYMEX Platinum Index</t>
  </si>
  <si>
    <t>SCI Oct30'20 @SGX</t>
  </si>
  <si>
    <t>SNLME Oct21'20 @LMEOTC</t>
  </si>
  <si>
    <t>ZSLME Oct21'20 @LMEOTC</t>
  </si>
  <si>
    <t>SI Dec29'20 @NYMEX</t>
  </si>
  <si>
    <t>NYMEX Silver Index</t>
  </si>
  <si>
    <t>Commodity Total</t>
  </si>
  <si>
    <t>VIX</t>
  </si>
  <si>
    <t>VIX Oct21'20 @CFE</t>
  </si>
  <si>
    <t>Total</t>
  </si>
  <si>
    <t>URI</t>
  </si>
  <si>
    <t>UNITED RENTALS INC</t>
  </si>
  <si>
    <t>BBY</t>
  </si>
  <si>
    <t>BEST BUY CO INC</t>
  </si>
  <si>
    <t>PB Nov18'20 @LMEOTC</t>
  </si>
  <si>
    <t>LEN</t>
  </si>
  <si>
    <t>LENNAR CORP-A</t>
  </si>
  <si>
    <t>DHI</t>
  </si>
  <si>
    <t>DR HORTON INC</t>
  </si>
  <si>
    <t>LOW</t>
  </si>
  <si>
    <t>LOWE'S COS INC</t>
  </si>
  <si>
    <t>NG Nov'20 @NYMEX</t>
  </si>
  <si>
    <t>TSR20 Nov'20 @SGX</t>
  </si>
  <si>
    <t>RB Nov'20 @NYMEX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</si>
</sst>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/dd/yyyy"/>
    <numFmt numFmtId="165" formatCode="\$#,##0.00"/>
    <numFmt numFmtId="166" formatCode="0.000"/>
    <numFmt numFmtId="167" formatCode="0.000%"/>
    <numFmt numFmtId="168" formatCode="&quot; $&quot;* #,##0.00\ ;&quot; $&quot;* \(#,##0.00\);&quot; $&quot;* \-#\ ;@\ "/>
    <numFmt numFmtId="169" formatCode="0.0000%"/>
    <numFmt numFmtId="170" formatCode="\+0;\-0;0"/>
  </numFmts>
  <fonts count="6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rgb="FFFFFFFF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FF"/>
        <bgColor rgb="FFE7E6E6"/>
      </patternFill>
    </fill>
    <fill>
      <patternFill patternType="solid">
        <fgColor rgb="FF1F4E79"/>
        <bgColor rgb="FF003366"/>
      </patternFill>
    </fill>
    <fill>
      <patternFill patternType="solid">
        <fgColor rgb="FFE7E6E6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168" fontId="5" fillId="0" borderId="0" applyBorder="0" applyProtection="0"/>
    <xf numFmtId="9" fontId="5" fillId="0" borderId="0" applyBorder="0" applyProtection="0"/>
  </cellStyleXfs>
  <cellXfs count="89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1" xfId="0" applyFont="1" applyBorder="1" applyAlignment="1"/>
    <xf numFmtId="164" fontId="2" fillId="0" borderId="1" xfId="0" applyNumberFormat="1" applyFont="1" applyBorder="1" applyAlignment="1">
      <alignment horizontal="right"/>
    </xf>
    <xf numFmtId="164" fontId="2" fillId="0" borderId="0" xfId="0" applyNumberFormat="1" applyFont="1" applyBorder="1" applyAlignment="1"/>
    <xf numFmtId="9" fontId="2" fillId="0" borderId="1" xfId="2" applyFont="1" applyBorder="1" applyAlignment="1" applyProtection="1">
      <alignment wrapText="1"/>
    </xf>
    <xf numFmtId="9" fontId="1" fillId="0" borderId="0" xfId="2" applyFont="1" applyBorder="1" applyAlignment="1" applyProtection="1"/>
    <xf numFmtId="0" fontId="1" fillId="0" borderId="0" xfId="2" applyNumberFormat="1" applyFont="1" applyBorder="1" applyAlignment="1" applyProtection="1"/>
    <xf numFmtId="165" fontId="2" fillId="0" borderId="1" xfId="0" applyNumberFormat="1" applyFont="1" applyBorder="1" applyAlignment="1">
      <alignment wrapText="1"/>
    </xf>
    <xf numFmtId="165" fontId="2" fillId="0" borderId="1" xfId="0" applyNumberFormat="1" applyFont="1" applyBorder="1" applyAlignment="1">
      <alignment vertical="center" wrapText="1"/>
    </xf>
    <xf numFmtId="166" fontId="2" fillId="0" borderId="1" xfId="0" applyNumberFormat="1" applyFont="1" applyBorder="1"/>
    <xf numFmtId="0" fontId="2" fillId="0" borderId="0" xfId="0" applyFont="1" applyBorder="1"/>
    <xf numFmtId="165" fontId="2" fillId="2" borderId="1" xfId="0" applyNumberFormat="1" applyFont="1" applyFill="1" applyBorder="1"/>
    <xf numFmtId="165" fontId="2" fillId="0" borderId="0" xfId="0" applyNumberFormat="1" applyFont="1"/>
    <xf numFmtId="0" fontId="2" fillId="0" borderId="0" xfId="0" applyFont="1"/>
    <xf numFmtId="10" fontId="2" fillId="2" borderId="1" xfId="0" applyNumberFormat="1" applyFont="1" applyFill="1" applyBorder="1"/>
    <xf numFmtId="0" fontId="2" fillId="2" borderId="1" xfId="0" applyFont="1" applyFill="1" applyBorder="1"/>
    <xf numFmtId="167" fontId="1" fillId="0" borderId="0" xfId="0" applyNumberFormat="1" applyFont="1"/>
    <xf numFmtId="165" fontId="2" fillId="0" borderId="1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9" fontId="1" fillId="0" borderId="0" xfId="0" applyNumberFormat="1" applyFont="1"/>
    <xf numFmtId="10" fontId="2" fillId="0" borderId="0" xfId="0" applyNumberFormat="1" applyFont="1"/>
    <xf numFmtId="0" fontId="2" fillId="0" borderId="2" xfId="0" applyFont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3" borderId="0" xfId="0" applyFont="1" applyFill="1"/>
    <xf numFmtId="0" fontId="2" fillId="3" borderId="0" xfId="0" applyFont="1" applyFill="1" applyBorder="1"/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169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/>
    <xf numFmtId="0" fontId="1" fillId="3" borderId="1" xfId="0" applyFont="1" applyFill="1" applyBorder="1" applyAlignment="1">
      <alignment vertical="center" wrapText="1"/>
    </xf>
    <xf numFmtId="169" fontId="1" fillId="3" borderId="1" xfId="2" applyNumberFormat="1" applyFont="1" applyFill="1" applyBorder="1" applyAlignment="1" applyProtection="1">
      <alignment vertical="center" wrapText="1"/>
    </xf>
    <xf numFmtId="165" fontId="1" fillId="3" borderId="1" xfId="0" applyNumberFormat="1" applyFont="1" applyFill="1" applyBorder="1" applyAlignment="1">
      <alignment vertical="center" wrapText="1"/>
    </xf>
    <xf numFmtId="2" fontId="1" fillId="3" borderId="1" xfId="0" applyNumberFormat="1" applyFont="1" applyFill="1" applyBorder="1" applyAlignment="1">
      <alignment vertical="center" wrapText="1"/>
    </xf>
    <xf numFmtId="170" fontId="2" fillId="3" borderId="1" xfId="0" applyNumberFormat="1" applyFont="1" applyFill="1" applyBorder="1" applyAlignment="1">
      <alignment vertical="center" wrapText="1"/>
    </xf>
    <xf numFmtId="165" fontId="2" fillId="3" borderId="1" xfId="0" applyNumberFormat="1" applyFont="1" applyFill="1" applyBorder="1" applyAlignment="1">
      <alignment vertical="center" wrapText="1"/>
    </xf>
    <xf numFmtId="169" fontId="2" fillId="3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165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vertical="center" wrapText="1"/>
    </xf>
    <xf numFmtId="170" fontId="1" fillId="3" borderId="1" xfId="0" applyNumberFormat="1" applyFont="1" applyFill="1" applyBorder="1" applyAlignment="1">
      <alignment vertical="center" wrapText="1"/>
    </xf>
    <xf numFmtId="169" fontId="1" fillId="3" borderId="1" xfId="0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10" fontId="2" fillId="5" borderId="1" xfId="0" applyNumberFormat="1" applyFont="1" applyFill="1" applyBorder="1" applyAlignment="1">
      <alignment vertical="center" wrapText="1"/>
    </xf>
    <xf numFmtId="165" fontId="2" fillId="5" borderId="1" xfId="2" applyNumberFormat="1" applyFont="1" applyFill="1" applyBorder="1" applyAlignment="1" applyProtection="1">
      <alignment vertical="center" wrapText="1"/>
    </xf>
    <xf numFmtId="2" fontId="2" fillId="5" borderId="1" xfId="2" applyNumberFormat="1" applyFont="1" applyFill="1" applyBorder="1" applyAlignment="1" applyProtection="1">
      <alignment vertical="center" wrapText="1"/>
    </xf>
    <xf numFmtId="170" fontId="2" fillId="5" borderId="1" xfId="2" applyNumberFormat="1" applyFont="1" applyFill="1" applyBorder="1" applyAlignment="1" applyProtection="1">
      <alignment vertical="center" wrapText="1"/>
    </xf>
    <xf numFmtId="169" fontId="2" fillId="5" borderId="1" xfId="0" applyNumberFormat="1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169" fontId="1" fillId="5" borderId="1" xfId="2" applyNumberFormat="1" applyFont="1" applyFill="1" applyBorder="1" applyAlignment="1" applyProtection="1">
      <alignment vertical="center" wrapText="1"/>
    </xf>
    <xf numFmtId="165" fontId="1" fillId="5" borderId="1" xfId="0" applyNumberFormat="1" applyFont="1" applyFill="1" applyBorder="1" applyAlignment="1">
      <alignment vertical="center" wrapText="1"/>
    </xf>
    <xf numFmtId="2" fontId="1" fillId="5" borderId="1" xfId="0" applyNumberFormat="1" applyFont="1" applyFill="1" applyBorder="1" applyAlignment="1">
      <alignment vertical="center" wrapText="1"/>
    </xf>
    <xf numFmtId="170" fontId="2" fillId="5" borderId="1" xfId="0" applyNumberFormat="1" applyFont="1" applyFill="1" applyBorder="1" applyAlignment="1">
      <alignment vertical="center" wrapText="1"/>
    </xf>
    <xf numFmtId="165" fontId="2" fillId="5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/>
    <xf numFmtId="165" fontId="1" fillId="3" borderId="1" xfId="0" applyNumberFormat="1" applyFont="1" applyFill="1" applyBorder="1" applyAlignment="1">
      <alignment wrapText="1"/>
    </xf>
    <xf numFmtId="0" fontId="1" fillId="0" borderId="0" xfId="0" applyFont="1" applyBorder="1"/>
    <xf numFmtId="0" fontId="2" fillId="5" borderId="1" xfId="0" applyFont="1" applyFill="1" applyBorder="1" applyAlignment="1">
      <alignment wrapText="1"/>
    </xf>
    <xf numFmtId="165" fontId="2" fillId="5" borderId="1" xfId="2" applyNumberFormat="1" applyFont="1" applyFill="1" applyBorder="1" applyAlignment="1" applyProtection="1">
      <alignment wrapText="1"/>
    </xf>
    <xf numFmtId="2" fontId="2" fillId="5" borderId="1" xfId="0" applyNumberFormat="1" applyFont="1" applyFill="1" applyBorder="1" applyAlignment="1">
      <alignment wrapText="1"/>
    </xf>
    <xf numFmtId="2" fontId="2" fillId="5" borderId="1" xfId="0" applyNumberFormat="1" applyFont="1" applyFill="1" applyBorder="1" applyAlignment="1">
      <alignment vertical="center" wrapText="1"/>
    </xf>
    <xf numFmtId="169" fontId="2" fillId="5" borderId="1" xfId="0" applyNumberFormat="1" applyFont="1" applyFill="1" applyBorder="1"/>
    <xf numFmtId="0" fontId="2" fillId="5" borderId="1" xfId="0" applyFont="1" applyFill="1" applyBorder="1"/>
    <xf numFmtId="169" fontId="2" fillId="5" borderId="1" xfId="0" applyNumberFormat="1" applyFont="1" applyFill="1" applyBorder="1" applyAlignment="1">
      <alignment vertical="center"/>
    </xf>
    <xf numFmtId="2" fontId="2" fillId="3" borderId="1" xfId="0" applyNumberFormat="1" applyFont="1" applyFill="1" applyBorder="1" applyAlignment="1">
      <alignment vertical="center" wrapText="1"/>
    </xf>
    <xf numFmtId="10" fontId="2" fillId="5" borderId="1" xfId="2" applyNumberFormat="1" applyFont="1" applyFill="1" applyBorder="1" applyAlignment="1" applyProtection="1">
      <alignment vertical="center" wrapText="1"/>
    </xf>
    <xf numFmtId="9" fontId="1" fillId="3" borderId="1" xfId="2" applyFont="1" applyFill="1" applyBorder="1" applyAlignment="1" applyProtection="1">
      <alignment vertical="center" wrapText="1"/>
    </xf>
    <xf numFmtId="170" fontId="1" fillId="5" borderId="1" xfId="0" applyNumberFormat="1" applyFont="1" applyFill="1" applyBorder="1" applyAlignment="1">
      <alignment vertical="center" wrapText="1"/>
    </xf>
    <xf numFmtId="169" fontId="1" fillId="5" borderId="1" xfId="0" applyNumberFormat="1" applyFont="1" applyFill="1" applyBorder="1" applyAlignment="1">
      <alignment vertical="center" wrapText="1"/>
    </xf>
    <xf numFmtId="9" fontId="1" fillId="3" borderId="1" xfId="2" applyFont="1" applyFill="1" applyBorder="1" applyAlignment="1" applyProtection="1">
      <alignment wrapText="1"/>
    </xf>
    <xf numFmtId="165" fontId="2" fillId="5" borderId="1" xfId="0" applyNumberFormat="1" applyFont="1" applyFill="1" applyBorder="1" applyAlignment="1">
      <alignment wrapText="1"/>
    </xf>
    <xf numFmtId="9" fontId="1" fillId="3" borderId="1" xfId="2" applyFont="1" applyFill="1" applyBorder="1" applyAlignment="1" applyProtection="1"/>
    <xf numFmtId="165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Border="1"/>
    <xf numFmtId="0" fontId="4" fillId="0" borderId="2" xfId="0" applyFont="1" applyBorder="1"/>
    <xf numFmtId="0" fontId="1" fillId="0" borderId="2" xfId="0" applyFont="1" applyBorder="1"/>
    <xf numFmtId="2" fontId="1" fillId="0" borderId="0" xfId="0" applyNumberFormat="1" applyFont="1" applyAlignment="1">
      <alignment vertical="center" wrapText="1"/>
    </xf>
    <xf numFmtId="169" fontId="2" fillId="5" borderId="1" xfId="2" applyNumberFormat="1" applyFont="1" applyFill="1" applyBorder="1" applyAlignment="1" applyProtection="1">
      <alignment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38958456799101112131445626789101112131415161718192021" displayName="Table138958456799101112131445626789101112131415161718192021" ref="B8:M83" totalsRowShown="0">
  <autoFilter ref="B8:M83" xr:uid="{00000000-0009-0000-0100-000001000000}"/>
  <tableColumns count="12">
    <tableColumn id="1" xr3:uid="{00000000-0010-0000-0000-000001000000}" name="IB Ticker"/>
    <tableColumn id="2" xr3:uid="{00000000-0010-0000-0000-000002000000}" name="Financial Instrument"/>
    <tableColumn id="3" xr3:uid="{00000000-0010-0000-0000-000003000000}" name="Target Allocation (%)"/>
    <tableColumn id="4" xr3:uid="{00000000-0010-0000-0000-000004000000}" name="Target Value Allocation (USD)"/>
    <tableColumn id="5" xr3:uid="{00000000-0010-0000-0000-000005000000}" name="Last price"/>
    <tableColumn id="6" xr3:uid="{00000000-0010-0000-0000-000006000000}" name="Target Quantity"/>
    <tableColumn id="7" xr3:uid="{00000000-0010-0000-0000-000007000000}" name="Previous Quantity"/>
    <tableColumn id="8" xr3:uid="{00000000-0010-0000-0000-000008000000}" name="Current Quantity"/>
    <tableColumn id="9" xr3:uid="{00000000-0010-0000-0000-000009000000}" name="Change"/>
    <tableColumn id="10" xr3:uid="{00000000-0010-0000-0000-00000A000000}" name="Current Value Allocation"/>
    <tableColumn id="11" xr3:uid="{00000000-0010-0000-0000-00000B000000}" name="Current Allocation Percentage"/>
    <tableColumn id="12" xr3:uid="{00000000-0010-0000-0000-00000C000000}" name="Comments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3895845679910111213144562678910111213141516171819202134567891011" displayName="Table13895845679910111213144562678910111213141516171819202134567891011" ref="B8:M86" totalsRowShown="0">
  <autoFilter ref="B8:M86" xr:uid="{00000000-0009-0000-0100-00000A000000}"/>
  <tableColumns count="12">
    <tableColumn id="1" xr3:uid="{00000000-0010-0000-0900-000001000000}" name="IB Ticker"/>
    <tableColumn id="2" xr3:uid="{00000000-0010-0000-0900-000002000000}" name="Financial Instrument"/>
    <tableColumn id="3" xr3:uid="{00000000-0010-0000-0900-000003000000}" name="Target Allocation (%)"/>
    <tableColumn id="4" xr3:uid="{00000000-0010-0000-0900-000004000000}" name="Target Value Allocation (USD)"/>
    <tableColumn id="5" xr3:uid="{00000000-0010-0000-0900-000005000000}" name="Last price"/>
    <tableColumn id="6" xr3:uid="{00000000-0010-0000-0900-000006000000}" name="Target Quantity"/>
    <tableColumn id="7" xr3:uid="{00000000-0010-0000-0900-000007000000}" name="Previous Quantity"/>
    <tableColumn id="8" xr3:uid="{00000000-0010-0000-0900-000008000000}" name="Current Quantity"/>
    <tableColumn id="9" xr3:uid="{00000000-0010-0000-0900-000009000000}" name="Change"/>
    <tableColumn id="10" xr3:uid="{00000000-0010-0000-0900-00000A000000}" name="Current Value Allocation"/>
    <tableColumn id="11" xr3:uid="{00000000-0010-0000-0900-00000B000000}" name="Current Allocation Percentage"/>
    <tableColumn id="12" xr3:uid="{00000000-0010-0000-0900-00000C000000}" name="Comments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389584567991011121314456267891011121314151617181920213456789101112" displayName="Table1389584567991011121314456267891011121314151617181920213456789101112" ref="B8:M86" totalsRowShown="0">
  <autoFilter ref="B8:M86" xr:uid="{00000000-0009-0000-0100-00000B000000}"/>
  <tableColumns count="12">
    <tableColumn id="1" xr3:uid="{00000000-0010-0000-0A00-000001000000}" name="IB Ticker"/>
    <tableColumn id="2" xr3:uid="{00000000-0010-0000-0A00-000002000000}" name="Financial Instrument"/>
    <tableColumn id="3" xr3:uid="{00000000-0010-0000-0A00-000003000000}" name="Target Allocation (%)"/>
    <tableColumn id="4" xr3:uid="{00000000-0010-0000-0A00-000004000000}" name="Target Value Allocation (USD)"/>
    <tableColumn id="5" xr3:uid="{00000000-0010-0000-0A00-000005000000}" name="Last price"/>
    <tableColumn id="6" xr3:uid="{00000000-0010-0000-0A00-000006000000}" name="Target Quantity"/>
    <tableColumn id="7" xr3:uid="{00000000-0010-0000-0A00-000007000000}" name="Previous Quantity"/>
    <tableColumn id="8" xr3:uid="{00000000-0010-0000-0A00-000008000000}" name="Current Quantity"/>
    <tableColumn id="9" xr3:uid="{00000000-0010-0000-0A00-000009000000}" name="Change"/>
    <tableColumn id="10" xr3:uid="{00000000-0010-0000-0A00-00000A000000}" name="Current Value Allocation"/>
    <tableColumn id="11" xr3:uid="{00000000-0010-0000-0A00-00000B000000}" name="Current Allocation Percentage"/>
    <tableColumn id="12" xr3:uid="{00000000-0010-0000-0A00-00000C000000}" name="Comments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38958456799101112131445626789101112131415161718192021345678910111213" displayName="Table138958456799101112131445626789101112131415161718192021345678910111213" ref="B8:M87" totalsRowShown="0">
  <autoFilter ref="B8:M87" xr:uid="{00000000-0009-0000-0100-00000C000000}"/>
  <tableColumns count="12">
    <tableColumn id="1" xr3:uid="{00000000-0010-0000-0B00-000001000000}" name="IB Ticker"/>
    <tableColumn id="2" xr3:uid="{00000000-0010-0000-0B00-000002000000}" name="Financial Instrument"/>
    <tableColumn id="3" xr3:uid="{00000000-0010-0000-0B00-000003000000}" name="Target Allocation (%)"/>
    <tableColumn id="4" xr3:uid="{00000000-0010-0000-0B00-000004000000}" name="Target Value Allocation (USD)"/>
    <tableColumn id="5" xr3:uid="{00000000-0010-0000-0B00-000005000000}" name="Last price"/>
    <tableColumn id="6" xr3:uid="{00000000-0010-0000-0B00-000006000000}" name="Target Quantity"/>
    <tableColumn id="7" xr3:uid="{00000000-0010-0000-0B00-000007000000}" name="Previous Quantity"/>
    <tableColumn id="8" xr3:uid="{00000000-0010-0000-0B00-000008000000}" name="Current Quantity"/>
    <tableColumn id="9" xr3:uid="{00000000-0010-0000-0B00-000009000000}" name="Change"/>
    <tableColumn id="10" xr3:uid="{00000000-0010-0000-0B00-00000A000000}" name="Current Value Allocation"/>
    <tableColumn id="11" xr3:uid="{00000000-0010-0000-0B00-00000B000000}" name="Current Allocation Percentage"/>
    <tableColumn id="12" xr3:uid="{00000000-0010-0000-0B00-00000C000000}" name="Comments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895845679910111213144562678910111213141516171819202134567891011121314" displayName="Table13895845679910111213144562678910111213141516171819202134567891011121314" ref="B8:M89" totalsRowShown="0">
  <autoFilter ref="B8:M89" xr:uid="{00000000-0009-0000-0100-00000D000000}"/>
  <tableColumns count="12">
    <tableColumn id="1" xr3:uid="{00000000-0010-0000-0C00-000001000000}" name="IB Ticker"/>
    <tableColumn id="2" xr3:uid="{00000000-0010-0000-0C00-000002000000}" name="Financial Instrument"/>
    <tableColumn id="3" xr3:uid="{00000000-0010-0000-0C00-000003000000}" name="Target Allocation (%)"/>
    <tableColumn id="4" xr3:uid="{00000000-0010-0000-0C00-000004000000}" name="Target Value Allocation (USD)"/>
    <tableColumn id="5" xr3:uid="{00000000-0010-0000-0C00-000005000000}" name="Last price"/>
    <tableColumn id="6" xr3:uid="{00000000-0010-0000-0C00-000006000000}" name="Target Quantity"/>
    <tableColumn id="7" xr3:uid="{00000000-0010-0000-0C00-000007000000}" name="Previous Quantity"/>
    <tableColumn id="8" xr3:uid="{00000000-0010-0000-0C00-000008000000}" name="Current Quantity"/>
    <tableColumn id="9" xr3:uid="{00000000-0010-0000-0C00-000009000000}" name="Change"/>
    <tableColumn id="10" xr3:uid="{00000000-0010-0000-0C00-00000A000000}" name="Current Value Allocation"/>
    <tableColumn id="11" xr3:uid="{00000000-0010-0000-0C00-00000B000000}" name="Current Allocation Percentage"/>
    <tableColumn id="12" xr3:uid="{00000000-0010-0000-0C00-00000C000000}" name="Comments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389584567991011121314456267891011121314151617181920213456789101112131415" displayName="Table1389584567991011121314456267891011121314151617181920213456789101112131415" ref="B8:M80" totalsRowShown="0">
  <autoFilter ref="B8:M80" xr:uid="{00000000-0009-0000-0100-00000E000000}"/>
  <tableColumns count="12">
    <tableColumn id="1" xr3:uid="{00000000-0010-0000-0D00-000001000000}" name="IB Ticker"/>
    <tableColumn id="2" xr3:uid="{00000000-0010-0000-0D00-000002000000}" name="Financial Instrument"/>
    <tableColumn id="3" xr3:uid="{00000000-0010-0000-0D00-000003000000}" name="Target Allocation (%)"/>
    <tableColumn id="4" xr3:uid="{00000000-0010-0000-0D00-000004000000}" name="Target Value Allocation (USD)"/>
    <tableColumn id="5" xr3:uid="{00000000-0010-0000-0D00-000005000000}" name="Last price"/>
    <tableColumn id="6" xr3:uid="{00000000-0010-0000-0D00-000006000000}" name="Target Quantity"/>
    <tableColumn id="7" xr3:uid="{00000000-0010-0000-0D00-000007000000}" name="Previous Quantity"/>
    <tableColumn id="8" xr3:uid="{00000000-0010-0000-0D00-000008000000}" name="Current Quantity"/>
    <tableColumn id="9" xr3:uid="{00000000-0010-0000-0D00-000009000000}" name="Change"/>
    <tableColumn id="10" xr3:uid="{00000000-0010-0000-0D00-00000A000000}" name="Current Value Allocation"/>
    <tableColumn id="11" xr3:uid="{00000000-0010-0000-0D00-00000B000000}" name="Current Allocation Percentage"/>
    <tableColumn id="12" xr3:uid="{00000000-0010-0000-0D00-00000C000000}" name="Comments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38958456799101112131445626789101112131415161718192021345678910111213141516" displayName="Table138958456799101112131445626789101112131415161718192021345678910111213141516" ref="B8:M80" totalsRowShown="0">
  <autoFilter ref="B8:M80" xr:uid="{00000000-0009-0000-0100-00000F000000}"/>
  <tableColumns count="12">
    <tableColumn id="1" xr3:uid="{00000000-0010-0000-0E00-000001000000}" name="IB Ticker"/>
    <tableColumn id="2" xr3:uid="{00000000-0010-0000-0E00-000002000000}" name="Financial Instrument"/>
    <tableColumn id="3" xr3:uid="{00000000-0010-0000-0E00-000003000000}" name="Target Allocation (%)"/>
    <tableColumn id="4" xr3:uid="{00000000-0010-0000-0E00-000004000000}" name="Target Value Allocation (USD)"/>
    <tableColumn id="5" xr3:uid="{00000000-0010-0000-0E00-000005000000}" name="Last price"/>
    <tableColumn id="6" xr3:uid="{00000000-0010-0000-0E00-000006000000}" name="Target Quantity"/>
    <tableColumn id="7" xr3:uid="{00000000-0010-0000-0E00-000007000000}" name="Previous Quantity"/>
    <tableColumn id="8" xr3:uid="{00000000-0010-0000-0E00-000008000000}" name="Current Quantity"/>
    <tableColumn id="9" xr3:uid="{00000000-0010-0000-0E00-000009000000}" name="Change"/>
    <tableColumn id="10" xr3:uid="{00000000-0010-0000-0E00-00000A000000}" name="Current Value Allocation"/>
    <tableColumn id="11" xr3:uid="{00000000-0010-0000-0E00-00000B000000}" name="Current Allocation Percentage"/>
    <tableColumn id="12" xr3:uid="{00000000-0010-0000-0E00-00000C000000}" name="Comments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3895845679910111213144562678910111213141516171819202134567891011121314151617" displayName="Table13895845679910111213144562678910111213141516171819202134567891011121314151617" ref="B8:M80" totalsRowShown="0">
  <autoFilter ref="B8:M80" xr:uid="{00000000-0009-0000-0100-000010000000}"/>
  <tableColumns count="12">
    <tableColumn id="1" xr3:uid="{00000000-0010-0000-0F00-000001000000}" name="IB Ticker"/>
    <tableColumn id="2" xr3:uid="{00000000-0010-0000-0F00-000002000000}" name="Financial Instrument"/>
    <tableColumn id="3" xr3:uid="{00000000-0010-0000-0F00-000003000000}" name="Target Allocation (%)"/>
    <tableColumn id="4" xr3:uid="{00000000-0010-0000-0F00-000004000000}" name="Target Value Allocation (USD)"/>
    <tableColumn id="5" xr3:uid="{00000000-0010-0000-0F00-000005000000}" name="Last price"/>
    <tableColumn id="6" xr3:uid="{00000000-0010-0000-0F00-000006000000}" name="Target Quantity"/>
    <tableColumn id="7" xr3:uid="{00000000-0010-0000-0F00-000007000000}" name="Previous Quantity"/>
    <tableColumn id="8" xr3:uid="{00000000-0010-0000-0F00-000008000000}" name="Current Quantity"/>
    <tableColumn id="9" xr3:uid="{00000000-0010-0000-0F00-000009000000}" name="Change"/>
    <tableColumn id="10" xr3:uid="{00000000-0010-0000-0F00-00000A000000}" name="Current Value Allocation"/>
    <tableColumn id="11" xr3:uid="{00000000-0010-0000-0F00-00000B000000}" name="Current Allocation Percentage"/>
    <tableColumn id="12" xr3:uid="{00000000-0010-0000-0F00-00000C000000}" name="Comments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389584567991011121314456267891011121314151617181920213456789101112131415161718" displayName="Table1389584567991011121314456267891011121314151617181920213456789101112131415161718" ref="B8:M80" totalsRowShown="0">
  <autoFilter ref="B8:M80" xr:uid="{00000000-0009-0000-0100-000011000000}"/>
  <tableColumns count="12">
    <tableColumn id="1" xr3:uid="{00000000-0010-0000-1000-000001000000}" name="IB Ticker"/>
    <tableColumn id="2" xr3:uid="{00000000-0010-0000-1000-000002000000}" name="Financial Instrument"/>
    <tableColumn id="3" xr3:uid="{00000000-0010-0000-1000-000003000000}" name="Target Allocation (%)"/>
    <tableColumn id="4" xr3:uid="{00000000-0010-0000-1000-000004000000}" name="Target Value Allocation (USD)"/>
    <tableColumn id="5" xr3:uid="{00000000-0010-0000-1000-000005000000}" name="Last price"/>
    <tableColumn id="6" xr3:uid="{00000000-0010-0000-1000-000006000000}" name="Target Quantity"/>
    <tableColumn id="7" xr3:uid="{00000000-0010-0000-1000-000007000000}" name="Previous Quantity"/>
    <tableColumn id="8" xr3:uid="{00000000-0010-0000-1000-000008000000}" name="Current Quantity"/>
    <tableColumn id="9" xr3:uid="{00000000-0010-0000-1000-000009000000}" name="Change"/>
    <tableColumn id="10" xr3:uid="{00000000-0010-0000-1000-00000A000000}" name="Current Value Allocation"/>
    <tableColumn id="11" xr3:uid="{00000000-0010-0000-1000-00000B000000}" name="Current Allocation Percentage"/>
    <tableColumn id="12" xr3:uid="{00000000-0010-0000-1000-00000C000000}" name="Comments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38958456799101112131445626789101112131415161718192021345678910111213141516171819" displayName="Table138958456799101112131445626789101112131415161718192021345678910111213141516171819" ref="B8:M86" totalsRowShown="0">
  <autoFilter ref="B8:M86" xr:uid="{00000000-0009-0000-0100-000012000000}"/>
  <tableColumns count="12">
    <tableColumn id="1" xr3:uid="{00000000-0010-0000-1100-000001000000}" name="IB Ticker"/>
    <tableColumn id="2" xr3:uid="{00000000-0010-0000-1100-000002000000}" name="Financial Instrument"/>
    <tableColumn id="3" xr3:uid="{00000000-0010-0000-1100-000003000000}" name="Target Allocation (%)"/>
    <tableColumn id="4" xr3:uid="{00000000-0010-0000-1100-000004000000}" name="Target Value Allocation (USD)"/>
    <tableColumn id="5" xr3:uid="{00000000-0010-0000-1100-000005000000}" name="Last price"/>
    <tableColumn id="6" xr3:uid="{00000000-0010-0000-1100-000006000000}" name="Target Quantity"/>
    <tableColumn id="7" xr3:uid="{00000000-0010-0000-1100-000007000000}" name="Previous Quantity"/>
    <tableColumn id="8" xr3:uid="{00000000-0010-0000-1100-000008000000}" name="Current Quantity"/>
    <tableColumn id="9" xr3:uid="{00000000-0010-0000-1100-000009000000}" name="Change"/>
    <tableColumn id="10" xr3:uid="{00000000-0010-0000-1100-00000A000000}" name="Current Value Allocation"/>
    <tableColumn id="11" xr3:uid="{00000000-0010-0000-1100-00000B000000}" name="Current Allocation Percentage"/>
    <tableColumn id="12" xr3:uid="{00000000-0010-0000-1100-00000C000000}" name="Comments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13895845679910111213144562678910111213141516171819202134567891011121314151617181920" displayName="Table13895845679910111213144562678910111213141516171819202134567891011121314151617181920" ref="B8:M81" totalsRowShown="0">
  <autoFilter ref="B8:M81" xr:uid="{00000000-0009-0000-0100-000013000000}"/>
  <tableColumns count="12">
    <tableColumn id="1" xr3:uid="{00000000-0010-0000-1200-000001000000}" name="IB Ticker"/>
    <tableColumn id="2" xr3:uid="{00000000-0010-0000-1200-000002000000}" name="Financial Instrument"/>
    <tableColumn id="3" xr3:uid="{00000000-0010-0000-1200-000003000000}" name="Target Allocation (%)"/>
    <tableColumn id="4" xr3:uid="{00000000-0010-0000-1200-000004000000}" name="Target Value Allocation (USD)"/>
    <tableColumn id="5" xr3:uid="{00000000-0010-0000-1200-000005000000}" name="Last price"/>
    <tableColumn id="6" xr3:uid="{00000000-0010-0000-1200-000006000000}" name="Target Quantity"/>
    <tableColumn id="7" xr3:uid="{00000000-0010-0000-1200-000007000000}" name="Previous Quantity"/>
    <tableColumn id="8" xr3:uid="{00000000-0010-0000-1200-000008000000}" name="Current Quantity"/>
    <tableColumn id="9" xr3:uid="{00000000-0010-0000-1200-000009000000}" name="Change"/>
    <tableColumn id="10" xr3:uid="{00000000-0010-0000-1200-00000A000000}" name="Current Value Allocation"/>
    <tableColumn id="11" xr3:uid="{00000000-0010-0000-1200-00000B000000}" name="Current Allocation Percentage"/>
    <tableColumn id="12" xr3:uid="{00000000-0010-0000-1200-00000C000000}" name="Comment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89584567991011121314456267891011121314151617181920213" displayName="Table1389584567991011121314456267891011121314151617181920213" ref="B8:M83" totalsRowShown="0">
  <autoFilter ref="B8:M83" xr:uid="{00000000-0009-0000-0100-000002000000}"/>
  <tableColumns count="12">
    <tableColumn id="1" xr3:uid="{00000000-0010-0000-0100-000001000000}" name="IB Ticker"/>
    <tableColumn id="2" xr3:uid="{00000000-0010-0000-0100-000002000000}" name="Financial Instrument"/>
    <tableColumn id="3" xr3:uid="{00000000-0010-0000-0100-000003000000}" name="Target Allocation (%)"/>
    <tableColumn id="4" xr3:uid="{00000000-0010-0000-0100-000004000000}" name="Target Value Allocation (USD)"/>
    <tableColumn id="5" xr3:uid="{00000000-0010-0000-0100-000005000000}" name="Last price"/>
    <tableColumn id="6" xr3:uid="{00000000-0010-0000-0100-000006000000}" name="Target Quantity"/>
    <tableColumn id="7" xr3:uid="{00000000-0010-0000-0100-000007000000}" name="Previous Quantity"/>
    <tableColumn id="8" xr3:uid="{00000000-0010-0000-0100-000008000000}" name="Current Quantity"/>
    <tableColumn id="9" xr3:uid="{00000000-0010-0000-0100-000009000000}" name="Change"/>
    <tableColumn id="10" xr3:uid="{00000000-0010-0000-0100-00000A000000}" name="Current Value Allocation"/>
    <tableColumn id="11" xr3:uid="{00000000-0010-0000-0100-00000B000000}" name="Current Allocation Percentage"/>
    <tableColumn id="12" xr3:uid="{00000000-0010-0000-0100-00000C000000}" name="Comments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1389584567991011121314456267891011121314151617181920213456789101112131415161718192021" displayName="Table1389584567991011121314456267891011121314151617181920213456789101112131415161718192021" ref="B8:M81" totalsRowShown="0">
  <autoFilter ref="B8:M81" xr:uid="{00000000-0009-0000-0100-000014000000}"/>
  <tableColumns count="12">
    <tableColumn id="1" xr3:uid="{00000000-0010-0000-1300-000001000000}" name="IB Ticker"/>
    <tableColumn id="2" xr3:uid="{00000000-0010-0000-1300-000002000000}" name="Financial Instrument"/>
    <tableColumn id="3" xr3:uid="{00000000-0010-0000-1300-000003000000}" name="Target Allocation (%)"/>
    <tableColumn id="4" xr3:uid="{00000000-0010-0000-1300-000004000000}" name="Target Value Allocation (USD)"/>
    <tableColumn id="5" xr3:uid="{00000000-0010-0000-1300-000005000000}" name="Last price"/>
    <tableColumn id="6" xr3:uid="{00000000-0010-0000-1300-000006000000}" name="Target Quantity"/>
    <tableColumn id="7" xr3:uid="{00000000-0010-0000-1300-000007000000}" name="Previous Quantity"/>
    <tableColumn id="8" xr3:uid="{00000000-0010-0000-1300-000008000000}" name="Current Quantity"/>
    <tableColumn id="9" xr3:uid="{00000000-0010-0000-1300-000009000000}" name="Change"/>
    <tableColumn id="10" xr3:uid="{00000000-0010-0000-1300-00000A000000}" name="Current Value Allocation"/>
    <tableColumn id="11" xr3:uid="{00000000-0010-0000-1300-00000B000000}" name="Current Allocation Percentage"/>
    <tableColumn id="12" xr3:uid="{00000000-0010-0000-1300-00000C000000}" name="Comments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138958456799101112131445626789101112131415161718192021345678910111213141516171819202122" displayName="Table138958456799101112131445626789101112131415161718192021345678910111213141516171819202122" ref="B8:M79" totalsRowShown="0">
  <autoFilter ref="B8:M79" xr:uid="{00000000-0009-0000-0100-000015000000}"/>
  <tableColumns count="12">
    <tableColumn id="1" xr3:uid="{00000000-0010-0000-1400-000001000000}" name="IB Ticker"/>
    <tableColumn id="2" xr3:uid="{00000000-0010-0000-1400-000002000000}" name="Financial Instrument"/>
    <tableColumn id="3" xr3:uid="{00000000-0010-0000-1400-000003000000}" name="Target Allocation (%)"/>
    <tableColumn id="4" xr3:uid="{00000000-0010-0000-1400-000004000000}" name="Target Value Allocation (USD)"/>
    <tableColumn id="5" xr3:uid="{00000000-0010-0000-1400-000005000000}" name="Last price"/>
    <tableColumn id="6" xr3:uid="{00000000-0010-0000-1400-000006000000}" name="Target Quantity"/>
    <tableColumn id="7" xr3:uid="{00000000-0010-0000-1400-000007000000}" name="Previous Quantity"/>
    <tableColumn id="8" xr3:uid="{00000000-0010-0000-1400-000008000000}" name="Current Quantity"/>
    <tableColumn id="9" xr3:uid="{00000000-0010-0000-1400-000009000000}" name="Change"/>
    <tableColumn id="10" xr3:uid="{00000000-0010-0000-1400-00000A000000}" name="Current Value Allocation"/>
    <tableColumn id="11" xr3:uid="{00000000-0010-0000-1400-00000B000000}" name="Current Allocation Percentage"/>
    <tableColumn id="12" xr3:uid="{00000000-0010-0000-1400-00000C000000}" name="Comments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13895845679910111213144562678910111213141516171819202134567891011121314151617181920212223" displayName="Table13895845679910111213144562678910111213141516171819202134567891011121314151617181920212223" ref="B8:M79" totalsRowShown="0">
  <autoFilter ref="B8:M79" xr:uid="{00000000-0009-0000-0100-000016000000}"/>
  <tableColumns count="12">
    <tableColumn id="1" xr3:uid="{00000000-0010-0000-1500-000001000000}" name="IB Ticker"/>
    <tableColumn id="2" xr3:uid="{00000000-0010-0000-1500-000002000000}" name="Financial Instrument"/>
    <tableColumn id="3" xr3:uid="{00000000-0010-0000-1500-000003000000}" name="Target Allocation (%)"/>
    <tableColumn id="4" xr3:uid="{00000000-0010-0000-1500-000004000000}" name="Target Value Allocation (USD)"/>
    <tableColumn id="5" xr3:uid="{00000000-0010-0000-1500-000005000000}" name="Last price"/>
    <tableColumn id="6" xr3:uid="{00000000-0010-0000-1500-000006000000}" name="Target Quantity"/>
    <tableColumn id="7" xr3:uid="{00000000-0010-0000-1500-000007000000}" name="Previous Quantity"/>
    <tableColumn id="8" xr3:uid="{00000000-0010-0000-1500-000008000000}" name="Current Quantity"/>
    <tableColumn id="9" xr3:uid="{00000000-0010-0000-1500-000009000000}" name="Change"/>
    <tableColumn id="10" xr3:uid="{00000000-0010-0000-1500-00000A000000}" name="Current Value Allocation"/>
    <tableColumn id="11" xr3:uid="{00000000-0010-0000-1500-00000B000000}" name="Current Allocation Percentage"/>
    <tableColumn id="12" xr3:uid="{00000000-0010-0000-1500-00000C000000}" name="Comment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3895845679910111213144562678910111213141516171819202134" displayName="Table13895845679910111213144562678910111213141516171819202134" ref="B8:M84" totalsRowShown="0">
  <autoFilter ref="B8:M84" xr:uid="{00000000-0009-0000-0100-000003000000}"/>
  <tableColumns count="12">
    <tableColumn id="1" xr3:uid="{00000000-0010-0000-0200-000001000000}" name="IB Ticker"/>
    <tableColumn id="2" xr3:uid="{00000000-0010-0000-0200-000002000000}" name="Financial Instrument"/>
    <tableColumn id="3" xr3:uid="{00000000-0010-0000-0200-000003000000}" name="Target Allocation (%)"/>
    <tableColumn id="4" xr3:uid="{00000000-0010-0000-0200-000004000000}" name="Target Value Allocation (USD)"/>
    <tableColumn id="5" xr3:uid="{00000000-0010-0000-0200-000005000000}" name="Last price"/>
    <tableColumn id="6" xr3:uid="{00000000-0010-0000-0200-000006000000}" name="Target Quantity"/>
    <tableColumn id="7" xr3:uid="{00000000-0010-0000-0200-000007000000}" name="Previous Quantity"/>
    <tableColumn id="8" xr3:uid="{00000000-0010-0000-0200-000008000000}" name="Current Quantity"/>
    <tableColumn id="9" xr3:uid="{00000000-0010-0000-0200-000009000000}" name="Change"/>
    <tableColumn id="10" xr3:uid="{00000000-0010-0000-0200-00000A000000}" name="Current Value Allocation"/>
    <tableColumn id="11" xr3:uid="{00000000-0010-0000-0200-00000B000000}" name="Current Allocation Percentage"/>
    <tableColumn id="12" xr3:uid="{00000000-0010-0000-0200-00000C000000}" name="Comment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8958456799101112131445626789101112131415161718192021345" displayName="Table138958456799101112131445626789101112131415161718192021345" ref="B8:M85" totalsRowShown="0">
  <autoFilter ref="B8:M85" xr:uid="{00000000-0009-0000-0100-000004000000}"/>
  <tableColumns count="12">
    <tableColumn id="1" xr3:uid="{00000000-0010-0000-0300-000001000000}" name="IB Ticker"/>
    <tableColumn id="2" xr3:uid="{00000000-0010-0000-0300-000002000000}" name="Financial Instrument"/>
    <tableColumn id="3" xr3:uid="{00000000-0010-0000-0300-000003000000}" name="Target Allocation (%)"/>
    <tableColumn id="4" xr3:uid="{00000000-0010-0000-0300-000004000000}" name="Target Value Allocation (USD)"/>
    <tableColumn id="5" xr3:uid="{00000000-0010-0000-0300-000005000000}" name="Last price"/>
    <tableColumn id="6" xr3:uid="{00000000-0010-0000-0300-000006000000}" name="Target Quantity"/>
    <tableColumn id="7" xr3:uid="{00000000-0010-0000-0300-000007000000}" name="Previous Quantity"/>
    <tableColumn id="8" xr3:uid="{00000000-0010-0000-0300-000008000000}" name="Current Quantity"/>
    <tableColumn id="9" xr3:uid="{00000000-0010-0000-0300-000009000000}" name="Change"/>
    <tableColumn id="10" xr3:uid="{00000000-0010-0000-0300-00000A000000}" name="Current Value Allocation"/>
    <tableColumn id="11" xr3:uid="{00000000-0010-0000-0300-00000B000000}" name="Current Allocation Percentage"/>
    <tableColumn id="12" xr3:uid="{00000000-0010-0000-0300-00000C000000}" name="Comments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389584567991011121314456267891011121314151617181920213456" displayName="Table1389584567991011121314456267891011121314151617181920213456" ref="B8:M85" totalsRowShown="0">
  <autoFilter ref="B8:M85" xr:uid="{00000000-0009-0000-0100-000005000000}"/>
  <tableColumns count="12">
    <tableColumn id="1" xr3:uid="{00000000-0010-0000-0400-000001000000}" name="IB Ticker"/>
    <tableColumn id="2" xr3:uid="{00000000-0010-0000-0400-000002000000}" name="Financial Instrument"/>
    <tableColumn id="3" xr3:uid="{00000000-0010-0000-0400-000003000000}" name="Target Allocation (%)"/>
    <tableColumn id="4" xr3:uid="{00000000-0010-0000-0400-000004000000}" name="Target Value Allocation (USD)"/>
    <tableColumn id="5" xr3:uid="{00000000-0010-0000-0400-000005000000}" name="Last price"/>
    <tableColumn id="6" xr3:uid="{00000000-0010-0000-0400-000006000000}" name="Target Quantity"/>
    <tableColumn id="7" xr3:uid="{00000000-0010-0000-0400-000007000000}" name="Previous Quantity"/>
    <tableColumn id="8" xr3:uid="{00000000-0010-0000-0400-000008000000}" name="Current Quantity"/>
    <tableColumn id="9" xr3:uid="{00000000-0010-0000-0400-000009000000}" name="Change"/>
    <tableColumn id="10" xr3:uid="{00000000-0010-0000-0400-00000A000000}" name="Current Value Allocation"/>
    <tableColumn id="11" xr3:uid="{00000000-0010-0000-0400-00000B000000}" name="Current Allocation Percentage"/>
    <tableColumn id="12" xr3:uid="{00000000-0010-0000-0400-00000C000000}" name="Comments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3895845679910111213144562678910111213141516171819202134567" displayName="Table13895845679910111213144562678910111213141516171819202134567" ref="B8:M85" totalsRowShown="0">
  <autoFilter ref="B8:M85" xr:uid="{00000000-0009-0000-0100-000006000000}"/>
  <tableColumns count="12">
    <tableColumn id="1" xr3:uid="{00000000-0010-0000-0500-000001000000}" name="IB Ticker"/>
    <tableColumn id="2" xr3:uid="{00000000-0010-0000-0500-000002000000}" name="Financial Instrument"/>
    <tableColumn id="3" xr3:uid="{00000000-0010-0000-0500-000003000000}" name="Target Allocation (%)"/>
    <tableColumn id="4" xr3:uid="{00000000-0010-0000-0500-000004000000}" name="Target Value Allocation (USD)"/>
    <tableColumn id="5" xr3:uid="{00000000-0010-0000-0500-000005000000}" name="Last price"/>
    <tableColumn id="6" xr3:uid="{00000000-0010-0000-0500-000006000000}" name="Target Quantity"/>
    <tableColumn id="7" xr3:uid="{00000000-0010-0000-0500-000007000000}" name="Previous Quantity"/>
    <tableColumn id="8" xr3:uid="{00000000-0010-0000-0500-000008000000}" name="Current Quantity"/>
    <tableColumn id="9" xr3:uid="{00000000-0010-0000-0500-000009000000}" name="Change"/>
    <tableColumn id="10" xr3:uid="{00000000-0010-0000-0500-00000A000000}" name="Current Value Allocation"/>
    <tableColumn id="11" xr3:uid="{00000000-0010-0000-0500-00000B000000}" name="Current Allocation Percentage"/>
    <tableColumn id="12" xr3:uid="{00000000-0010-0000-0500-00000C000000}" name="Comments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138958456799101112131445626789101112131415161718192021345678" displayName="Table138958456799101112131445626789101112131415161718192021345678" ref="B8:M85" totalsRowShown="0">
  <autoFilter ref="B8:M85" xr:uid="{00000000-0009-0000-0100-000007000000}"/>
  <tableColumns count="12">
    <tableColumn id="1" xr3:uid="{00000000-0010-0000-0600-000001000000}" name="IB Ticker"/>
    <tableColumn id="2" xr3:uid="{00000000-0010-0000-0600-000002000000}" name="Financial Instrument"/>
    <tableColumn id="3" xr3:uid="{00000000-0010-0000-0600-000003000000}" name="Target Allocation (%)"/>
    <tableColumn id="4" xr3:uid="{00000000-0010-0000-0600-000004000000}" name="Target Value Allocation (USD)"/>
    <tableColumn id="5" xr3:uid="{00000000-0010-0000-0600-000005000000}" name="Last price"/>
    <tableColumn id="6" xr3:uid="{00000000-0010-0000-0600-000006000000}" name="Target Quantity"/>
    <tableColumn id="7" xr3:uid="{00000000-0010-0000-0600-000007000000}" name="Previous Quantity"/>
    <tableColumn id="8" xr3:uid="{00000000-0010-0000-0600-000008000000}" name="Current Quantity"/>
    <tableColumn id="9" xr3:uid="{00000000-0010-0000-0600-000009000000}" name="Change"/>
    <tableColumn id="10" xr3:uid="{00000000-0010-0000-0600-00000A000000}" name="Current Value Allocation"/>
    <tableColumn id="11" xr3:uid="{00000000-0010-0000-0600-00000B000000}" name="Current Allocation Percentage"/>
    <tableColumn id="12" xr3:uid="{00000000-0010-0000-0600-00000C000000}" name="Comments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1389584567991011121314456267891011121314151617181920213456789" displayName="Table1389584567991011121314456267891011121314151617181920213456789" ref="B8:M88" totalsRowShown="0">
  <autoFilter ref="B8:M88" xr:uid="{00000000-0009-0000-0100-000008000000}"/>
  <tableColumns count="12">
    <tableColumn id="1" xr3:uid="{00000000-0010-0000-0700-000001000000}" name="IB Ticker"/>
    <tableColumn id="2" xr3:uid="{00000000-0010-0000-0700-000002000000}" name="Financial Instrument"/>
    <tableColumn id="3" xr3:uid="{00000000-0010-0000-0700-000003000000}" name="Target Allocation (%)"/>
    <tableColumn id="4" xr3:uid="{00000000-0010-0000-0700-000004000000}" name="Target Value Allocation (USD)"/>
    <tableColumn id="5" xr3:uid="{00000000-0010-0000-0700-000005000000}" name="Last price"/>
    <tableColumn id="6" xr3:uid="{00000000-0010-0000-0700-000006000000}" name="Target Quantity"/>
    <tableColumn id="7" xr3:uid="{00000000-0010-0000-0700-000007000000}" name="Previous Quantity"/>
    <tableColumn id="8" xr3:uid="{00000000-0010-0000-0700-000008000000}" name="Current Quantity"/>
    <tableColumn id="9" xr3:uid="{00000000-0010-0000-0700-000009000000}" name="Change"/>
    <tableColumn id="10" xr3:uid="{00000000-0010-0000-0700-00000A000000}" name="Current Value Allocation"/>
    <tableColumn id="11" xr3:uid="{00000000-0010-0000-0700-00000B000000}" name="Current Allocation Percentage"/>
    <tableColumn id="12" xr3:uid="{00000000-0010-0000-0700-00000C000000}" name="Comments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138958456799101112131445626789101112131415161718192021345678910" displayName="Table138958456799101112131445626789101112131415161718192021345678910" ref="B8:M86" totalsRowShown="0">
  <autoFilter ref="B8:M86" xr:uid="{00000000-0009-0000-0100-000009000000}"/>
  <tableColumns count="12">
    <tableColumn id="1" xr3:uid="{00000000-0010-0000-0800-000001000000}" name="IB Ticker"/>
    <tableColumn id="2" xr3:uid="{00000000-0010-0000-0800-000002000000}" name="Financial Instrument"/>
    <tableColumn id="3" xr3:uid="{00000000-0010-0000-0800-000003000000}" name="Target Allocation (%)"/>
    <tableColumn id="4" xr3:uid="{00000000-0010-0000-0800-000004000000}" name="Target Value Allocation (USD)"/>
    <tableColumn id="5" xr3:uid="{00000000-0010-0000-0800-000005000000}" name="Last price"/>
    <tableColumn id="6" xr3:uid="{00000000-0010-0000-0800-000006000000}" name="Target Quantity"/>
    <tableColumn id="7" xr3:uid="{00000000-0010-0000-0800-000007000000}" name="Previous Quantity"/>
    <tableColumn id="8" xr3:uid="{00000000-0010-0000-0800-000008000000}" name="Current Quantity"/>
    <tableColumn id="9" xr3:uid="{00000000-0010-0000-0800-000009000000}" name="Change"/>
    <tableColumn id="10" xr3:uid="{00000000-0010-0000-0800-00000A000000}" name="Current Value Allocation"/>
    <tableColumn id="11" xr3:uid="{00000000-0010-0000-0800-00000B000000}" name="Current Allocation Percentage"/>
    <tableColumn id="12" xr3:uid="{00000000-0010-0000-0800-00000C000000}" name="Comment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opLeftCell="A25" zoomScale="125" zoomScaleNormal="125" workbookViewId="0">
      <selection activeCell="B42" sqref="B42"/>
    </sheetView>
  </sheetViews>
  <sheetFormatPr defaultColWidth="8.7109375" defaultRowHeight="15" x14ac:dyDescent="0.25"/>
  <cols>
    <col min="1" max="1" width="9.140625" customWidth="1"/>
    <col min="2" max="2" width="25" customWidth="1"/>
    <col min="3" max="3" width="54.85546875" customWidth="1"/>
    <col min="4" max="4" width="16" customWidth="1"/>
    <col min="5" max="9" width="9.140625" customWidth="1"/>
    <col min="10" max="10" width="14.5703125" customWidth="1"/>
    <col min="11" max="11" width="9.140625" customWidth="1"/>
    <col min="12" max="12" width="8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 x14ac:dyDescent="0.25">
      <c r="A2">
        <v>0</v>
      </c>
      <c r="B2" t="s">
        <v>11</v>
      </c>
      <c r="C2" t="s">
        <v>12</v>
      </c>
      <c r="D2" t="s">
        <v>13</v>
      </c>
      <c r="E2" t="s">
        <v>14</v>
      </c>
      <c r="F2" s="1">
        <v>2960</v>
      </c>
      <c r="G2" s="1">
        <v>1292247</v>
      </c>
      <c r="H2">
        <v>451.12</v>
      </c>
      <c r="I2" t="s">
        <v>15</v>
      </c>
      <c r="J2" s="1">
        <v>-43067</v>
      </c>
      <c r="M2">
        <f t="shared" ref="M2:M33" si="0">G2/F2</f>
        <v>436.56993243243244</v>
      </c>
    </row>
    <row r="3" spans="1:13" x14ac:dyDescent="0.25">
      <c r="A3">
        <v>0</v>
      </c>
      <c r="B3" t="s">
        <v>16</v>
      </c>
      <c r="C3" t="s">
        <v>17</v>
      </c>
      <c r="D3" t="s">
        <v>13</v>
      </c>
      <c r="E3" t="s">
        <v>14</v>
      </c>
      <c r="F3" s="1">
        <v>52220</v>
      </c>
      <c r="G3" s="1">
        <v>1779135</v>
      </c>
      <c r="H3">
        <v>33.911999999999999</v>
      </c>
      <c r="I3" t="s">
        <v>18</v>
      </c>
      <c r="J3" s="1">
        <v>8260</v>
      </c>
      <c r="M3">
        <f t="shared" si="0"/>
        <v>34.069992340099581</v>
      </c>
    </row>
    <row r="4" spans="1:13" x14ac:dyDescent="0.25">
      <c r="A4" s="1">
        <v>-12902</v>
      </c>
      <c r="B4" t="s">
        <v>19</v>
      </c>
      <c r="C4" t="s">
        <v>20</v>
      </c>
      <c r="D4" t="s">
        <v>13</v>
      </c>
      <c r="E4" t="s">
        <v>14</v>
      </c>
      <c r="F4" s="1">
        <v>1038</v>
      </c>
      <c r="G4" s="1">
        <v>1277124</v>
      </c>
      <c r="H4">
        <v>1276.9459999999999</v>
      </c>
      <c r="I4" t="s">
        <v>21</v>
      </c>
      <c r="J4" s="1">
        <v>-48346</v>
      </c>
      <c r="K4" t="s">
        <v>22</v>
      </c>
      <c r="M4">
        <f t="shared" si="0"/>
        <v>1230.3699421965318</v>
      </c>
    </row>
    <row r="5" spans="1:13" x14ac:dyDescent="0.25">
      <c r="A5" s="1">
        <v>-29010</v>
      </c>
      <c r="B5" t="s">
        <v>23</v>
      </c>
      <c r="C5" t="s">
        <v>24</v>
      </c>
      <c r="D5" t="s">
        <v>13</v>
      </c>
      <c r="E5" t="s">
        <v>14</v>
      </c>
      <c r="F5" s="1">
        <v>7948</v>
      </c>
      <c r="G5" s="1">
        <v>1669080</v>
      </c>
      <c r="H5">
        <v>219.24299999999999</v>
      </c>
      <c r="I5">
        <v>210</v>
      </c>
      <c r="J5" s="1">
        <v>-73456</v>
      </c>
      <c r="K5">
        <v>-1.7084015913877801E-2</v>
      </c>
      <c r="M5">
        <f t="shared" si="0"/>
        <v>210</v>
      </c>
    </row>
    <row r="6" spans="1:13" x14ac:dyDescent="0.25">
      <c r="A6">
        <v>0</v>
      </c>
      <c r="B6" t="s">
        <v>25</v>
      </c>
      <c r="C6" t="s">
        <v>26</v>
      </c>
      <c r="D6" t="s">
        <v>13</v>
      </c>
      <c r="E6" t="s">
        <v>14</v>
      </c>
      <c r="F6" s="1">
        <v>51415</v>
      </c>
      <c r="G6" s="1">
        <v>898734</v>
      </c>
      <c r="H6">
        <v>17.100000000000001</v>
      </c>
      <c r="I6" t="s">
        <v>27</v>
      </c>
      <c r="J6" s="1">
        <v>19540</v>
      </c>
      <c r="M6">
        <f t="shared" si="0"/>
        <v>17.479996110084606</v>
      </c>
    </row>
    <row r="7" spans="1:13" x14ac:dyDescent="0.25">
      <c r="A7">
        <v>-26821</v>
      </c>
      <c r="B7" t="s">
        <v>28</v>
      </c>
      <c r="C7" t="s">
        <v>29</v>
      </c>
      <c r="D7" t="s">
        <v>13</v>
      </c>
      <c r="E7" t="s">
        <v>14</v>
      </c>
      <c r="F7" s="1">
        <v>6672</v>
      </c>
      <c r="G7" s="1">
        <v>1754736</v>
      </c>
      <c r="H7">
        <v>255.84200000000001</v>
      </c>
      <c r="I7" t="s">
        <v>30</v>
      </c>
      <c r="J7" s="1">
        <v>47760</v>
      </c>
      <c r="M7">
        <f t="shared" si="0"/>
        <v>263</v>
      </c>
    </row>
    <row r="8" spans="1:13" x14ac:dyDescent="0.25">
      <c r="A8" s="1">
        <v>-448</v>
      </c>
      <c r="B8" t="s">
        <v>31</v>
      </c>
      <c r="C8" t="s">
        <v>32</v>
      </c>
      <c r="D8" t="s">
        <v>13</v>
      </c>
      <c r="E8" t="s">
        <v>14</v>
      </c>
      <c r="F8" s="1">
        <v>44779</v>
      </c>
      <c r="G8" s="1">
        <v>879460</v>
      </c>
      <c r="H8">
        <v>20.986000000000001</v>
      </c>
      <c r="I8" t="s">
        <v>33</v>
      </c>
      <c r="J8" s="1">
        <v>-60248</v>
      </c>
      <c r="M8">
        <f t="shared" si="0"/>
        <v>19.640009826034525</v>
      </c>
    </row>
    <row r="9" spans="1:13" x14ac:dyDescent="0.25">
      <c r="A9">
        <v>8390</v>
      </c>
      <c r="B9" t="s">
        <v>34</v>
      </c>
      <c r="C9" t="s">
        <v>35</v>
      </c>
      <c r="D9" t="s">
        <v>13</v>
      </c>
      <c r="E9" t="s">
        <v>14</v>
      </c>
      <c r="F9" s="1">
        <v>152538</v>
      </c>
      <c r="G9" s="1">
        <v>2726617</v>
      </c>
      <c r="H9">
        <v>18.204999999999998</v>
      </c>
      <c r="I9" t="s">
        <v>36</v>
      </c>
      <c r="J9" s="1">
        <v>-50249</v>
      </c>
      <c r="M9">
        <f t="shared" si="0"/>
        <v>17.875001638935871</v>
      </c>
    </row>
    <row r="10" spans="1:13" x14ac:dyDescent="0.25">
      <c r="A10" s="1">
        <v>-38735</v>
      </c>
      <c r="B10" t="s">
        <v>37</v>
      </c>
      <c r="C10" t="s">
        <v>38</v>
      </c>
      <c r="D10" t="s">
        <v>13</v>
      </c>
      <c r="E10" t="s">
        <v>14</v>
      </c>
      <c r="F10" s="1">
        <v>21283</v>
      </c>
      <c r="G10" s="1">
        <v>1728605</v>
      </c>
      <c r="H10">
        <v>77.590999999999994</v>
      </c>
      <c r="I10" t="s">
        <v>39</v>
      </c>
      <c r="J10" s="1">
        <v>77255</v>
      </c>
      <c r="M10">
        <f t="shared" si="0"/>
        <v>81.219987783677112</v>
      </c>
    </row>
    <row r="11" spans="1:13" x14ac:dyDescent="0.25">
      <c r="A11">
        <v>0</v>
      </c>
      <c r="B11" t="s">
        <v>40</v>
      </c>
      <c r="C11" t="s">
        <v>41</v>
      </c>
      <c r="D11" t="s">
        <v>13</v>
      </c>
      <c r="E11" t="s">
        <v>14</v>
      </c>
      <c r="F11">
        <v>26879</v>
      </c>
      <c r="G11" s="1">
        <v>883513</v>
      </c>
      <c r="H11">
        <v>34.433999999999997</v>
      </c>
      <c r="I11" t="s">
        <v>42</v>
      </c>
      <c r="J11" s="1">
        <v>-42018</v>
      </c>
      <c r="K11" t="s">
        <v>22</v>
      </c>
      <c r="M11">
        <f t="shared" si="0"/>
        <v>32.870010045016556</v>
      </c>
    </row>
    <row r="12" spans="1:13" x14ac:dyDescent="0.25">
      <c r="A12">
        <v>0</v>
      </c>
      <c r="B12" t="s">
        <v>43</v>
      </c>
      <c r="C12" t="s">
        <v>44</v>
      </c>
      <c r="D12" t="s">
        <v>13</v>
      </c>
      <c r="E12" t="s">
        <v>14</v>
      </c>
      <c r="F12" s="1">
        <v>1362</v>
      </c>
      <c r="G12" s="1">
        <v>1771935</v>
      </c>
      <c r="H12">
        <v>1130.778</v>
      </c>
      <c r="I12" t="s">
        <v>45</v>
      </c>
      <c r="J12" s="1">
        <v>231816</v>
      </c>
      <c r="M12">
        <f t="shared" si="0"/>
        <v>1300.9801762114537</v>
      </c>
    </row>
    <row r="13" spans="1:13" x14ac:dyDescent="0.25">
      <c r="A13" s="1">
        <v>-20192</v>
      </c>
      <c r="B13" t="s">
        <v>46</v>
      </c>
      <c r="C13" t="s">
        <v>47</v>
      </c>
      <c r="D13" t="s">
        <v>13</v>
      </c>
      <c r="E13" t="s">
        <v>14</v>
      </c>
      <c r="F13">
        <v>3388</v>
      </c>
      <c r="G13" s="1">
        <v>1744820</v>
      </c>
      <c r="H13">
        <v>527.78099999999995</v>
      </c>
      <c r="I13" t="s">
        <v>48</v>
      </c>
      <c r="J13" s="1">
        <v>-43301</v>
      </c>
      <c r="M13">
        <f t="shared" si="0"/>
        <v>515</v>
      </c>
    </row>
    <row r="14" spans="1:13" x14ac:dyDescent="0.25">
      <c r="A14">
        <v>0</v>
      </c>
      <c r="B14" t="s">
        <v>49</v>
      </c>
      <c r="C14" t="s">
        <v>50</v>
      </c>
      <c r="D14" t="s">
        <v>13</v>
      </c>
      <c r="E14" t="s">
        <v>14</v>
      </c>
      <c r="F14">
        <v>14247</v>
      </c>
      <c r="G14" s="1">
        <v>892717</v>
      </c>
      <c r="H14">
        <v>60.94</v>
      </c>
      <c r="I14" t="s">
        <v>51</v>
      </c>
      <c r="J14" s="1">
        <v>24513</v>
      </c>
      <c r="K14" t="s">
        <v>22</v>
      </c>
      <c r="M14">
        <f t="shared" si="0"/>
        <v>62.659998596195692</v>
      </c>
    </row>
    <row r="15" spans="1:13" x14ac:dyDescent="0.25">
      <c r="A15" s="1">
        <v>-9370</v>
      </c>
      <c r="B15" t="s">
        <v>52</v>
      </c>
      <c r="C15" t="s">
        <v>53</v>
      </c>
      <c r="D15" t="s">
        <v>13</v>
      </c>
      <c r="E15" t="s">
        <v>14</v>
      </c>
      <c r="F15">
        <v>8924</v>
      </c>
      <c r="G15" s="1">
        <v>1731167</v>
      </c>
      <c r="H15">
        <v>199.01400000000001</v>
      </c>
      <c r="I15" t="s">
        <v>54</v>
      </c>
      <c r="J15" s="1">
        <v>-44834</v>
      </c>
      <c r="M15">
        <f t="shared" si="0"/>
        <v>193.99002689376962</v>
      </c>
    </row>
    <row r="16" spans="1:13" x14ac:dyDescent="0.25">
      <c r="A16">
        <v>-31543</v>
      </c>
      <c r="B16" t="s">
        <v>55</v>
      </c>
      <c r="C16" t="s">
        <v>56</v>
      </c>
      <c r="D16" t="s">
        <v>13</v>
      </c>
      <c r="E16" t="s">
        <v>14</v>
      </c>
      <c r="F16" s="1">
        <v>4217</v>
      </c>
      <c r="G16" s="1">
        <v>1700927</v>
      </c>
      <c r="H16">
        <v>402.25200000000001</v>
      </c>
      <c r="I16">
        <v>403</v>
      </c>
      <c r="J16" s="1">
        <v>4631</v>
      </c>
      <c r="K16">
        <v>-1.9058978166151399E-2</v>
      </c>
      <c r="M16">
        <f t="shared" si="0"/>
        <v>403.35001185677021</v>
      </c>
    </row>
    <row r="17" spans="1:13" x14ac:dyDescent="0.25">
      <c r="A17">
        <v>0</v>
      </c>
      <c r="B17" t="s">
        <v>57</v>
      </c>
      <c r="C17" t="s">
        <v>58</v>
      </c>
      <c r="D17" t="s">
        <v>13</v>
      </c>
      <c r="E17" t="s">
        <v>14</v>
      </c>
      <c r="F17" s="1">
        <v>4603</v>
      </c>
      <c r="G17" s="1">
        <v>857907</v>
      </c>
      <c r="H17">
        <v>194.28299999999999</v>
      </c>
      <c r="I17" t="s">
        <v>59</v>
      </c>
      <c r="J17" s="1">
        <v>-36376</v>
      </c>
      <c r="M17">
        <f t="shared" si="0"/>
        <v>186.37996958505323</v>
      </c>
    </row>
    <row r="18" spans="1:13" x14ac:dyDescent="0.25">
      <c r="A18">
        <v>-18948</v>
      </c>
      <c r="B18" t="s">
        <v>60</v>
      </c>
      <c r="C18" t="s">
        <v>61</v>
      </c>
      <c r="D18" t="s">
        <v>13</v>
      </c>
      <c r="E18" t="s">
        <v>14</v>
      </c>
      <c r="F18" s="1">
        <v>3336</v>
      </c>
      <c r="G18" s="1">
        <v>1614624</v>
      </c>
      <c r="H18">
        <v>454.09899999999999</v>
      </c>
      <c r="I18" t="s">
        <v>62</v>
      </c>
      <c r="J18" s="1">
        <v>99751</v>
      </c>
      <c r="K18" t="s">
        <v>22</v>
      </c>
      <c r="M18">
        <f t="shared" si="0"/>
        <v>484</v>
      </c>
    </row>
    <row r="19" spans="1:13" x14ac:dyDescent="0.25">
      <c r="A19">
        <v>668</v>
      </c>
      <c r="B19" t="s">
        <v>63</v>
      </c>
      <c r="C19" t="s">
        <v>64</v>
      </c>
      <c r="D19" t="s">
        <v>13</v>
      </c>
      <c r="E19" t="s">
        <v>65</v>
      </c>
      <c r="F19" s="1">
        <v>3</v>
      </c>
      <c r="G19" s="1">
        <v>136024</v>
      </c>
      <c r="H19">
        <v>1848.05</v>
      </c>
      <c r="I19" t="s">
        <v>66</v>
      </c>
      <c r="J19" s="1">
        <v>-2580</v>
      </c>
      <c r="M19">
        <f t="shared" si="0"/>
        <v>45341.333333333336</v>
      </c>
    </row>
    <row r="20" spans="1:13" x14ac:dyDescent="0.25">
      <c r="A20" s="1">
        <v>-2243</v>
      </c>
      <c r="B20" t="s">
        <v>67</v>
      </c>
      <c r="C20" t="s">
        <v>68</v>
      </c>
      <c r="D20" t="s">
        <v>69</v>
      </c>
      <c r="E20" t="s">
        <v>70</v>
      </c>
      <c r="F20">
        <v>24</v>
      </c>
      <c r="G20" s="1">
        <v>4193370</v>
      </c>
      <c r="H20">
        <v>148.977</v>
      </c>
      <c r="I20">
        <v>149.5</v>
      </c>
      <c r="J20" s="1">
        <v>16076</v>
      </c>
      <c r="K20">
        <v>-8.6881000000000002E-4</v>
      </c>
      <c r="M20">
        <f t="shared" si="0"/>
        <v>174723.75</v>
      </c>
    </row>
    <row r="21" spans="1:13" x14ac:dyDescent="0.25">
      <c r="A21">
        <v>-584</v>
      </c>
      <c r="B21" t="s">
        <v>71</v>
      </c>
      <c r="C21" t="s">
        <v>72</v>
      </c>
      <c r="D21" t="s">
        <v>69</v>
      </c>
      <c r="E21" t="s">
        <v>70</v>
      </c>
      <c r="F21">
        <v>31</v>
      </c>
      <c r="G21" s="1">
        <v>4117429</v>
      </c>
      <c r="H21">
        <v>113.337</v>
      </c>
      <c r="I21">
        <v>113.67</v>
      </c>
      <c r="J21">
        <v>12586</v>
      </c>
      <c r="K21">
        <v>-2.6384999999999999E-4</v>
      </c>
      <c r="M21">
        <f t="shared" si="0"/>
        <v>132820.29032258064</v>
      </c>
    </row>
    <row r="22" spans="1:13" x14ac:dyDescent="0.25">
      <c r="A22" s="1">
        <v>-108</v>
      </c>
      <c r="B22" t="s">
        <v>73</v>
      </c>
      <c r="C22" t="s">
        <v>74</v>
      </c>
      <c r="D22" t="s">
        <v>13</v>
      </c>
      <c r="E22" t="s">
        <v>65</v>
      </c>
      <c r="F22">
        <v>1</v>
      </c>
      <c r="G22" s="1">
        <v>167992</v>
      </c>
      <c r="H22">
        <v>6714.05</v>
      </c>
      <c r="I22" t="s">
        <v>75</v>
      </c>
      <c r="J22" s="1">
        <v>141</v>
      </c>
      <c r="M22">
        <f t="shared" si="0"/>
        <v>167992</v>
      </c>
    </row>
    <row r="23" spans="1:13" x14ac:dyDescent="0.25">
      <c r="A23" s="1">
        <v>-938</v>
      </c>
      <c r="B23" t="s">
        <v>76</v>
      </c>
      <c r="C23" t="s">
        <v>77</v>
      </c>
      <c r="D23" t="s">
        <v>78</v>
      </c>
      <c r="E23" t="s">
        <v>79</v>
      </c>
      <c r="F23">
        <v>37</v>
      </c>
      <c r="G23" s="1">
        <v>4199861</v>
      </c>
      <c r="H23">
        <v>151.85</v>
      </c>
      <c r="I23">
        <v>151.26</v>
      </c>
      <c r="J23" s="1">
        <v>-17315</v>
      </c>
      <c r="K23">
        <v>0</v>
      </c>
      <c r="M23">
        <f t="shared" si="0"/>
        <v>113509.75675675676</v>
      </c>
    </row>
    <row r="24" spans="1:13" x14ac:dyDescent="0.25">
      <c r="A24" s="1">
        <v>-15830</v>
      </c>
      <c r="B24" t="s">
        <v>80</v>
      </c>
      <c r="C24" t="s">
        <v>81</v>
      </c>
      <c r="D24" t="s">
        <v>69</v>
      </c>
      <c r="E24" t="s">
        <v>70</v>
      </c>
      <c r="F24">
        <v>16</v>
      </c>
      <c r="G24" s="1">
        <v>4267174</v>
      </c>
      <c r="H24">
        <v>223.852</v>
      </c>
      <c r="I24">
        <v>228.38</v>
      </c>
      <c r="J24" s="1">
        <v>82664</v>
      </c>
      <c r="K24">
        <v>-3.2297486033519901E-3</v>
      </c>
      <c r="M24">
        <f t="shared" si="0"/>
        <v>266698.375</v>
      </c>
    </row>
    <row r="25" spans="1:13" x14ac:dyDescent="0.25">
      <c r="A25">
        <v>-207</v>
      </c>
      <c r="B25" t="s">
        <v>82</v>
      </c>
      <c r="C25" t="s">
        <v>83</v>
      </c>
      <c r="D25" t="s">
        <v>13</v>
      </c>
      <c r="E25" t="s">
        <v>84</v>
      </c>
      <c r="F25">
        <v>55</v>
      </c>
      <c r="G25" s="1">
        <v>13716794</v>
      </c>
      <c r="H25">
        <v>99.729200000000006</v>
      </c>
      <c r="I25">
        <v>99.754999999999995</v>
      </c>
      <c r="J25">
        <v>4042</v>
      </c>
      <c r="K25">
        <v>-5.0120000000000001E-5</v>
      </c>
      <c r="M25">
        <f t="shared" si="0"/>
        <v>249396.25454545455</v>
      </c>
    </row>
    <row r="26" spans="1:13" x14ac:dyDescent="0.25">
      <c r="A26">
        <v>0</v>
      </c>
      <c r="B26" t="s">
        <v>85</v>
      </c>
      <c r="C26" t="s">
        <v>86</v>
      </c>
      <c r="D26" t="s">
        <v>87</v>
      </c>
      <c r="E26" t="s">
        <v>88</v>
      </c>
      <c r="F26">
        <v>85</v>
      </c>
      <c r="G26" s="1">
        <v>13728070</v>
      </c>
      <c r="H26">
        <v>99.946100000000001</v>
      </c>
      <c r="I26">
        <v>99.95</v>
      </c>
      <c r="J26" s="1">
        <v>536</v>
      </c>
      <c r="K26">
        <v>0</v>
      </c>
      <c r="M26">
        <f t="shared" si="0"/>
        <v>161506.70588235295</v>
      </c>
    </row>
    <row r="27" spans="1:13" x14ac:dyDescent="0.25">
      <c r="A27" s="1">
        <v>440</v>
      </c>
      <c r="B27" t="s">
        <v>89</v>
      </c>
      <c r="C27" t="s">
        <v>90</v>
      </c>
      <c r="D27" t="s">
        <v>13</v>
      </c>
      <c r="E27" t="s">
        <v>91</v>
      </c>
      <c r="F27">
        <v>4</v>
      </c>
      <c r="G27" s="1">
        <v>132480</v>
      </c>
      <c r="H27">
        <v>3.2675000000000001</v>
      </c>
      <c r="I27">
        <v>3.3119999999999998</v>
      </c>
      <c r="J27">
        <v>1783</v>
      </c>
      <c r="K27">
        <v>3.3323235383217499E-3</v>
      </c>
      <c r="M27">
        <f t="shared" si="0"/>
        <v>33120</v>
      </c>
    </row>
    <row r="28" spans="1:13" x14ac:dyDescent="0.25">
      <c r="A28">
        <v>-1675</v>
      </c>
      <c r="B28" t="s">
        <v>92</v>
      </c>
      <c r="C28" t="s">
        <v>93</v>
      </c>
      <c r="D28" t="s">
        <v>13</v>
      </c>
      <c r="E28" t="s">
        <v>65</v>
      </c>
      <c r="F28">
        <v>1</v>
      </c>
      <c r="G28" s="1">
        <v>91349</v>
      </c>
      <c r="H28">
        <v>15109.2</v>
      </c>
      <c r="I28">
        <v>15270</v>
      </c>
      <c r="J28" s="1">
        <v>694</v>
      </c>
      <c r="K28">
        <v>-1.51564011609158E-2</v>
      </c>
      <c r="M28">
        <f t="shared" si="0"/>
        <v>91349</v>
      </c>
    </row>
    <row r="29" spans="1:13" x14ac:dyDescent="0.25">
      <c r="A29">
        <v>2860</v>
      </c>
      <c r="B29" t="s">
        <v>94</v>
      </c>
      <c r="C29" t="s">
        <v>95</v>
      </c>
      <c r="D29" t="s">
        <v>13</v>
      </c>
      <c r="E29" t="s">
        <v>91</v>
      </c>
      <c r="F29">
        <v>1</v>
      </c>
      <c r="G29" s="1">
        <v>222710</v>
      </c>
      <c r="H29">
        <v>2204.23</v>
      </c>
      <c r="I29">
        <v>2223</v>
      </c>
      <c r="J29">
        <v>2288</v>
      </c>
      <c r="K29">
        <v>1.11439617921309E-2</v>
      </c>
      <c r="M29">
        <f t="shared" si="0"/>
        <v>222710</v>
      </c>
    </row>
    <row r="30" spans="1:13" x14ac:dyDescent="0.25">
      <c r="A30">
        <v>-38</v>
      </c>
      <c r="B30" t="s">
        <v>96</v>
      </c>
      <c r="C30" t="s">
        <v>97</v>
      </c>
      <c r="D30" t="s">
        <v>13</v>
      </c>
      <c r="E30" t="s">
        <v>91</v>
      </c>
      <c r="F30">
        <v>3</v>
      </c>
      <c r="G30" s="1">
        <v>129490</v>
      </c>
      <c r="H30">
        <v>1.1561300000000001</v>
      </c>
      <c r="I30">
        <v>1.0218</v>
      </c>
      <c r="J30" s="1">
        <v>-16181</v>
      </c>
      <c r="K30">
        <v>-6.0311284046692401E-3</v>
      </c>
      <c r="M30">
        <f t="shared" si="0"/>
        <v>43163.333333333336</v>
      </c>
    </row>
    <row r="31" spans="1:13" x14ac:dyDescent="0.25">
      <c r="A31" s="1">
        <v>1419</v>
      </c>
      <c r="B31" t="s">
        <v>98</v>
      </c>
      <c r="C31" t="s">
        <v>99</v>
      </c>
      <c r="D31" t="s">
        <v>13</v>
      </c>
      <c r="E31" t="s">
        <v>100</v>
      </c>
      <c r="F31">
        <v>12</v>
      </c>
      <c r="G31" s="1">
        <v>134787</v>
      </c>
      <c r="H31">
        <v>110.742</v>
      </c>
      <c r="I31">
        <v>112.33</v>
      </c>
      <c r="J31" s="1">
        <v>1897</v>
      </c>
      <c r="K31">
        <v>1.0707216123807701E-2</v>
      </c>
      <c r="M31">
        <f t="shared" si="0"/>
        <v>11232.25</v>
      </c>
    </row>
    <row r="32" spans="1:13" x14ac:dyDescent="0.25">
      <c r="A32">
        <v>-873</v>
      </c>
      <c r="B32" t="s">
        <v>101</v>
      </c>
      <c r="C32" t="s">
        <v>102</v>
      </c>
      <c r="D32" t="s">
        <v>13</v>
      </c>
      <c r="E32" t="s">
        <v>65</v>
      </c>
      <c r="F32">
        <v>2</v>
      </c>
      <c r="G32" s="1">
        <v>177447</v>
      </c>
      <c r="H32">
        <v>18273</v>
      </c>
      <c r="I32" t="s">
        <v>103</v>
      </c>
      <c r="J32">
        <v>-5283</v>
      </c>
      <c r="M32">
        <f t="shared" si="0"/>
        <v>88723.5</v>
      </c>
    </row>
    <row r="33" spans="1:13" x14ac:dyDescent="0.25">
      <c r="A33">
        <v>-202</v>
      </c>
      <c r="B33" t="s">
        <v>104</v>
      </c>
      <c r="C33" t="s">
        <v>105</v>
      </c>
      <c r="D33" t="s">
        <v>13</v>
      </c>
      <c r="E33" t="s">
        <v>84</v>
      </c>
      <c r="F33">
        <v>33</v>
      </c>
      <c r="G33" s="1">
        <v>13739896</v>
      </c>
      <c r="H33">
        <v>99.920469999999995</v>
      </c>
      <c r="I33" t="s">
        <v>106</v>
      </c>
      <c r="J33">
        <v>-266</v>
      </c>
      <c r="M33">
        <f t="shared" si="0"/>
        <v>416360.48484848486</v>
      </c>
    </row>
    <row r="34" spans="1:13" x14ac:dyDescent="0.25">
      <c r="A34">
        <v>90</v>
      </c>
      <c r="B34" t="s">
        <v>107</v>
      </c>
      <c r="C34" t="s">
        <v>108</v>
      </c>
      <c r="D34" t="s">
        <v>13</v>
      </c>
      <c r="E34" t="s">
        <v>84</v>
      </c>
      <c r="F34">
        <v>55</v>
      </c>
      <c r="G34" s="1">
        <v>13738747</v>
      </c>
      <c r="H34">
        <v>99.926310000000001</v>
      </c>
      <c r="I34">
        <v>99.917500000000004</v>
      </c>
      <c r="J34">
        <v>-1120</v>
      </c>
      <c r="K34">
        <v>0</v>
      </c>
      <c r="M34">
        <f t="shared" ref="M34:M54" si="1">G34/F34</f>
        <v>249795.4</v>
      </c>
    </row>
    <row r="35" spans="1:13" x14ac:dyDescent="0.25">
      <c r="A35" s="1">
        <v>3509</v>
      </c>
      <c r="B35" t="s">
        <v>109</v>
      </c>
      <c r="C35" t="s">
        <v>110</v>
      </c>
      <c r="D35" t="s">
        <v>13</v>
      </c>
      <c r="E35" t="s">
        <v>111</v>
      </c>
      <c r="F35">
        <v>26</v>
      </c>
      <c r="G35" s="1">
        <v>4101759</v>
      </c>
      <c r="H35">
        <v>159.30000000000001</v>
      </c>
      <c r="I35" t="s">
        <v>112</v>
      </c>
      <c r="J35" s="1">
        <v>-40027</v>
      </c>
      <c r="K35">
        <v>1.0904044409199001E-3</v>
      </c>
      <c r="M35">
        <f t="shared" si="1"/>
        <v>157759.96153846153</v>
      </c>
    </row>
    <row r="36" spans="1:13" x14ac:dyDescent="0.25">
      <c r="A36" s="1">
        <v>-4142</v>
      </c>
      <c r="B36" t="s">
        <v>113</v>
      </c>
      <c r="C36" t="s">
        <v>114</v>
      </c>
      <c r="D36" t="s">
        <v>13</v>
      </c>
      <c r="E36" t="s">
        <v>100</v>
      </c>
      <c r="F36">
        <v>17</v>
      </c>
      <c r="G36" s="1">
        <v>135428</v>
      </c>
      <c r="H36">
        <v>154.56</v>
      </c>
      <c r="I36">
        <v>158.9</v>
      </c>
      <c r="J36" s="1">
        <v>4056</v>
      </c>
      <c r="K36">
        <v>-3.2277710109622403E-2</v>
      </c>
      <c r="M36">
        <f t="shared" si="1"/>
        <v>7966.3529411764703</v>
      </c>
    </row>
    <row r="37" spans="1:13" x14ac:dyDescent="0.25">
      <c r="A37" s="1">
        <v>15200</v>
      </c>
      <c r="B37" t="s">
        <v>115</v>
      </c>
      <c r="C37" t="s">
        <v>116</v>
      </c>
      <c r="D37" t="s">
        <v>13</v>
      </c>
      <c r="E37" t="s">
        <v>111</v>
      </c>
      <c r="F37">
        <v>19</v>
      </c>
      <c r="G37" s="1">
        <v>4110294</v>
      </c>
      <c r="H37">
        <v>220.215408</v>
      </c>
      <c r="I37" t="s">
        <v>117</v>
      </c>
      <c r="J37" s="1">
        <v>-73799</v>
      </c>
      <c r="K37">
        <v>4.0597361171523802E-3</v>
      </c>
      <c r="M37">
        <f t="shared" si="1"/>
        <v>216331.26315789475</v>
      </c>
    </row>
    <row r="38" spans="1:13" x14ac:dyDescent="0.25">
      <c r="A38">
        <v>30175</v>
      </c>
      <c r="B38" t="s">
        <v>118</v>
      </c>
      <c r="C38" t="s">
        <v>119</v>
      </c>
      <c r="D38" t="s">
        <v>13</v>
      </c>
      <c r="E38" t="s">
        <v>120</v>
      </c>
      <c r="F38">
        <v>17</v>
      </c>
      <c r="G38" s="1">
        <v>593300</v>
      </c>
      <c r="H38">
        <v>29.672000000000001</v>
      </c>
      <c r="I38">
        <v>35.299999999999997</v>
      </c>
      <c r="J38">
        <v>88891</v>
      </c>
      <c r="K38">
        <v>6.6465256797583097E-2</v>
      </c>
      <c r="M38">
        <f t="shared" si="1"/>
        <v>34900</v>
      </c>
    </row>
    <row r="39" spans="1:13" x14ac:dyDescent="0.25">
      <c r="A39" s="1">
        <v>6487</v>
      </c>
      <c r="B39" t="s">
        <v>121</v>
      </c>
      <c r="C39" t="s">
        <v>122</v>
      </c>
      <c r="D39" t="s">
        <v>13</v>
      </c>
      <c r="E39" t="s">
        <v>111</v>
      </c>
      <c r="F39">
        <v>24</v>
      </c>
      <c r="G39" s="1">
        <v>4154737</v>
      </c>
      <c r="H39">
        <v>175.63772700000001</v>
      </c>
      <c r="I39" t="s">
        <v>123</v>
      </c>
      <c r="J39" s="1">
        <v>-60569</v>
      </c>
      <c r="K39">
        <v>1.8079913216416501E-3</v>
      </c>
      <c r="M39">
        <f t="shared" si="1"/>
        <v>173114.04166666666</v>
      </c>
    </row>
    <row r="40" spans="1:13" x14ac:dyDescent="0.25">
      <c r="A40">
        <v>674</v>
      </c>
      <c r="B40" t="s">
        <v>124</v>
      </c>
      <c r="C40" t="s">
        <v>125</v>
      </c>
      <c r="D40" t="s">
        <v>13</v>
      </c>
      <c r="E40" t="s">
        <v>111</v>
      </c>
      <c r="F40">
        <v>33</v>
      </c>
      <c r="G40" s="1">
        <v>4147073</v>
      </c>
      <c r="H40">
        <v>125.88946129</v>
      </c>
      <c r="I40" t="s">
        <v>126</v>
      </c>
      <c r="J40">
        <v>-7280</v>
      </c>
      <c r="K40">
        <v>1.8652999999999999E-4</v>
      </c>
      <c r="M40">
        <f t="shared" si="1"/>
        <v>125668.87878787878</v>
      </c>
    </row>
    <row r="41" spans="1:13" x14ac:dyDescent="0.25">
      <c r="A41" s="1">
        <v>1731</v>
      </c>
      <c r="B41" t="s">
        <v>127</v>
      </c>
      <c r="C41" t="s">
        <v>128</v>
      </c>
      <c r="D41" t="s">
        <v>13</v>
      </c>
      <c r="E41" t="s">
        <v>111</v>
      </c>
      <c r="F41">
        <v>30</v>
      </c>
      <c r="G41" s="1">
        <v>4153918</v>
      </c>
      <c r="H41">
        <v>139.21875</v>
      </c>
      <c r="I41" t="s">
        <v>129</v>
      </c>
      <c r="J41" s="1">
        <v>-22631</v>
      </c>
      <c r="K41">
        <v>4.5156999999999999E-4</v>
      </c>
      <c r="M41">
        <f t="shared" si="1"/>
        <v>138463.93333333332</v>
      </c>
    </row>
    <row r="42" spans="1:13" x14ac:dyDescent="0.25">
      <c r="A42">
        <v>-165</v>
      </c>
      <c r="B42" t="s">
        <v>130</v>
      </c>
      <c r="C42" t="s">
        <v>131</v>
      </c>
      <c r="D42" t="s">
        <v>13</v>
      </c>
      <c r="E42" t="s">
        <v>111</v>
      </c>
      <c r="F42">
        <v>33</v>
      </c>
      <c r="G42" s="1">
        <v>13739247</v>
      </c>
      <c r="H42">
        <v>99.915400000000005</v>
      </c>
      <c r="I42">
        <v>99.915000000000006</v>
      </c>
      <c r="J42">
        <v>-218</v>
      </c>
      <c r="K42">
        <v>0</v>
      </c>
      <c r="M42">
        <f t="shared" si="1"/>
        <v>416340.81818181818</v>
      </c>
    </row>
    <row r="43" spans="1:13" x14ac:dyDescent="0.25">
      <c r="A43">
        <v>-189</v>
      </c>
      <c r="B43" t="s">
        <v>132</v>
      </c>
      <c r="C43" t="s">
        <v>133</v>
      </c>
      <c r="D43" t="s">
        <v>13</v>
      </c>
      <c r="E43" t="s">
        <v>65</v>
      </c>
      <c r="F43">
        <v>2</v>
      </c>
      <c r="G43">
        <v>126011</v>
      </c>
      <c r="H43">
        <v>2427</v>
      </c>
      <c r="I43" t="s">
        <v>134</v>
      </c>
      <c r="J43">
        <v>4663</v>
      </c>
      <c r="M43">
        <f t="shared" si="1"/>
        <v>63005.5</v>
      </c>
    </row>
    <row r="44" spans="1:13" x14ac:dyDescent="0.25">
      <c r="A44">
        <v>237</v>
      </c>
      <c r="B44" t="s">
        <v>135</v>
      </c>
      <c r="C44" t="s">
        <v>136</v>
      </c>
      <c r="D44" t="s">
        <v>13</v>
      </c>
      <c r="E44" t="s">
        <v>111</v>
      </c>
      <c r="F44">
        <v>19</v>
      </c>
      <c r="G44">
        <v>4196269</v>
      </c>
      <c r="H44">
        <v>110.447032643</v>
      </c>
      <c r="I44" t="s">
        <v>137</v>
      </c>
      <c r="J44">
        <v>-719</v>
      </c>
      <c r="K44">
        <v>7.0749999999999999E-5</v>
      </c>
      <c r="M44">
        <f t="shared" si="1"/>
        <v>220856.26315789475</v>
      </c>
    </row>
    <row r="45" spans="1:13" x14ac:dyDescent="0.25">
      <c r="M45" t="e">
        <f t="shared" si="1"/>
        <v>#DIV/0!</v>
      </c>
    </row>
    <row r="46" spans="1:13" x14ac:dyDescent="0.25">
      <c r="M46" t="e">
        <f t="shared" si="1"/>
        <v>#DIV/0!</v>
      </c>
    </row>
    <row r="47" spans="1:13" x14ac:dyDescent="0.25">
      <c r="M47" t="e">
        <f t="shared" si="1"/>
        <v>#DIV/0!</v>
      </c>
    </row>
    <row r="48" spans="1:13" x14ac:dyDescent="0.25">
      <c r="M48" t="e">
        <f t="shared" si="1"/>
        <v>#DIV/0!</v>
      </c>
    </row>
    <row r="49" spans="13:13" x14ac:dyDescent="0.25">
      <c r="M49" t="e">
        <f t="shared" si="1"/>
        <v>#DIV/0!</v>
      </c>
    </row>
    <row r="50" spans="13:13" x14ac:dyDescent="0.25">
      <c r="M50" t="e">
        <f t="shared" si="1"/>
        <v>#DIV/0!</v>
      </c>
    </row>
    <row r="51" spans="13:13" x14ac:dyDescent="0.25">
      <c r="M51" t="e">
        <f t="shared" si="1"/>
        <v>#DIV/0!</v>
      </c>
    </row>
    <row r="52" spans="13:13" x14ac:dyDescent="0.25">
      <c r="M52" t="e">
        <f t="shared" si="1"/>
        <v>#DIV/0!</v>
      </c>
    </row>
    <row r="53" spans="13:13" x14ac:dyDescent="0.25">
      <c r="M53" t="e">
        <f t="shared" si="1"/>
        <v>#DIV/0!</v>
      </c>
    </row>
    <row r="54" spans="13:13" x14ac:dyDescent="0.25">
      <c r="M54" t="e">
        <f t="shared" si="1"/>
        <v>#DIV/0!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H94"/>
  <sheetViews>
    <sheetView zoomScale="125" zoomScaleNormal="125" workbookViewId="0">
      <pane xSplit="2" topLeftCell="C1" activePane="topRight" state="frozen"/>
      <selection pane="topRight" activeCell="O14" sqref="O14"/>
    </sheetView>
  </sheetViews>
  <sheetFormatPr defaultColWidth="9.140625" defaultRowHeight="15" x14ac:dyDescent="0.25"/>
  <cols>
    <col min="1" max="2" width="15.140625" style="2" customWidth="1"/>
    <col min="3" max="3" width="29.28515625" style="2" customWidth="1"/>
    <col min="4" max="4" width="14.85546875" style="2" customWidth="1"/>
    <col min="5" max="5" width="27.42578125" style="2" customWidth="1"/>
    <col min="6" max="7" width="13.7109375" style="2" customWidth="1"/>
    <col min="8" max="8" width="16.5703125" style="2" customWidth="1"/>
    <col min="9" max="9" width="15.5703125" style="2" customWidth="1"/>
    <col min="10" max="10" width="13.42578125" customWidth="1"/>
    <col min="11" max="11" width="23.5703125" customWidth="1"/>
    <col min="12" max="12" width="13.42578125" customWidth="1"/>
    <col min="13" max="13" width="22.5703125" style="2" customWidth="1"/>
    <col min="14" max="16" width="10.85546875" style="2" customWidth="1"/>
    <col min="17" max="17" width="11.28515625" style="2" customWidth="1"/>
    <col min="18" max="1022" width="9.140625" style="2"/>
  </cols>
  <sheetData>
    <row r="1" spans="1:17" s="2" customFormat="1" ht="25.5" x14ac:dyDescent="0.2">
      <c r="A1" s="3"/>
      <c r="B1" s="3" t="s">
        <v>138</v>
      </c>
      <c r="C1" s="4">
        <v>44117</v>
      </c>
      <c r="D1" s="5"/>
      <c r="E1" s="6" t="s">
        <v>139</v>
      </c>
      <c r="F1" s="7"/>
      <c r="G1" s="8"/>
      <c r="K1" s="9" t="s">
        <v>140</v>
      </c>
      <c r="L1" s="9" t="s">
        <v>141</v>
      </c>
      <c r="M1" s="10" t="s">
        <v>142</v>
      </c>
    </row>
    <row r="2" spans="1:17" x14ac:dyDescent="0.25">
      <c r="A2" s="3"/>
      <c r="B2" s="3" t="s">
        <v>143</v>
      </c>
      <c r="C2" s="11">
        <v>8.9689999999999994</v>
      </c>
      <c r="D2" s="12"/>
      <c r="E2" s="13">
        <f>SUM(E25,E42,E52,E72,E27,E74)</f>
        <v>176943904.6464175</v>
      </c>
      <c r="F2" s="14"/>
      <c r="G2" s="15"/>
      <c r="H2" s="12"/>
      <c r="I2" s="12"/>
      <c r="J2" s="12"/>
      <c r="K2" s="13">
        <f>SUM(K25,K42,K52,K72,K27,K74)</f>
        <v>177105162.75867525</v>
      </c>
      <c r="L2" s="16">
        <f>SUM(L52,L72,L42,L25,L27,L74)</f>
        <v>0.99999999999999989</v>
      </c>
      <c r="M2" s="17">
        <f>K2/$C$6</f>
        <v>8.977209821279585</v>
      </c>
      <c r="N2" s="18"/>
    </row>
    <row r="3" spans="1:17" ht="26.25" x14ac:dyDescent="0.25">
      <c r="A3" s="3"/>
      <c r="B3" s="3" t="s">
        <v>144</v>
      </c>
      <c r="C3" s="19">
        <v>19728308.27</v>
      </c>
      <c r="D3" s="20"/>
      <c r="E3" s="6" t="s">
        <v>145</v>
      </c>
      <c r="F3" s="14"/>
      <c r="G3" s="15"/>
      <c r="H3" s="12"/>
      <c r="I3" s="12"/>
      <c r="J3" s="12"/>
      <c r="K3" s="6" t="s">
        <v>145</v>
      </c>
      <c r="L3" s="12"/>
      <c r="M3" s="10" t="s">
        <v>146</v>
      </c>
      <c r="N3" s="21"/>
    </row>
    <row r="4" spans="1:17" x14ac:dyDescent="0.25">
      <c r="A4" s="3"/>
      <c r="B4" s="3" t="s">
        <v>147</v>
      </c>
      <c r="C4" s="19">
        <v>0</v>
      </c>
      <c r="D4" s="20"/>
      <c r="E4" s="13">
        <f>SUM(E25,E72,E27)</f>
        <v>34503392.560767218</v>
      </c>
      <c r="F4" s="14"/>
      <c r="G4" s="15"/>
      <c r="H4" s="12"/>
      <c r="I4" s="12"/>
      <c r="J4" s="12"/>
      <c r="K4" s="13">
        <f>SUM(K25,K27,K72)</f>
        <v>34526601.447417207</v>
      </c>
      <c r="L4" s="12"/>
      <c r="M4" s="17">
        <f>K4/$C$6</f>
        <v>1.7501045185876551</v>
      </c>
      <c r="N4" s="21"/>
    </row>
    <row r="5" spans="1:17" x14ac:dyDescent="0.25">
      <c r="A5" s="3"/>
      <c r="B5" s="3" t="s">
        <v>148</v>
      </c>
      <c r="C5" s="19">
        <v>0</v>
      </c>
      <c r="D5" s="20"/>
      <c r="E5" s="14"/>
      <c r="F5" s="14"/>
      <c r="G5" s="22">
        <f>SUM(D25,D27,D42,D52,D72,D74)</f>
        <v>1.0000040000000001</v>
      </c>
      <c r="H5" s="12"/>
      <c r="I5" s="12"/>
      <c r="J5" s="12"/>
      <c r="K5" s="12"/>
      <c r="L5" s="12"/>
      <c r="M5" s="12"/>
      <c r="N5" s="21"/>
    </row>
    <row r="6" spans="1:17" x14ac:dyDescent="0.25">
      <c r="A6" s="3"/>
      <c r="B6" s="3" t="s">
        <v>149</v>
      </c>
      <c r="C6" s="19">
        <f>C3+C4-C5</f>
        <v>19728308.27</v>
      </c>
      <c r="D6" s="20"/>
      <c r="E6" s="14"/>
      <c r="F6" s="14"/>
      <c r="G6" s="15"/>
      <c r="H6" s="12"/>
      <c r="I6" s="12"/>
      <c r="J6" s="12"/>
      <c r="K6" s="12"/>
      <c r="L6" s="12"/>
      <c r="M6" s="12"/>
      <c r="N6" s="21"/>
    </row>
    <row r="7" spans="1:17" x14ac:dyDescent="0.25">
      <c r="A7" s="23"/>
      <c r="B7" s="24"/>
      <c r="C7" s="24"/>
      <c r="D7" s="25"/>
      <c r="E7" s="26"/>
      <c r="F7" s="26"/>
      <c r="G7" s="26"/>
      <c r="H7" s="27"/>
      <c r="I7" s="27"/>
      <c r="J7" s="27"/>
      <c r="K7" s="12"/>
      <c r="L7" s="12"/>
      <c r="M7" s="12"/>
      <c r="N7" s="21"/>
    </row>
    <row r="8" spans="1:17" s="32" customFormat="1" ht="38.25" x14ac:dyDescent="0.2">
      <c r="A8" s="28" t="s">
        <v>150</v>
      </c>
      <c r="B8" s="28" t="s">
        <v>151</v>
      </c>
      <c r="C8" s="29" t="s">
        <v>1</v>
      </c>
      <c r="D8" s="29" t="s">
        <v>152</v>
      </c>
      <c r="E8" s="29" t="s">
        <v>153</v>
      </c>
      <c r="F8" s="29" t="s">
        <v>154</v>
      </c>
      <c r="G8" s="29" t="s">
        <v>155</v>
      </c>
      <c r="H8" s="29" t="s">
        <v>156</v>
      </c>
      <c r="I8" s="29" t="s">
        <v>157</v>
      </c>
      <c r="J8" s="29" t="s">
        <v>158</v>
      </c>
      <c r="K8" s="30" t="s">
        <v>159</v>
      </c>
      <c r="L8" s="30" t="s">
        <v>160</v>
      </c>
      <c r="M8" s="30" t="s">
        <v>161</v>
      </c>
      <c r="N8" s="31"/>
      <c r="Q8" s="33"/>
    </row>
    <row r="9" spans="1:17" s="43" customFormat="1" ht="12.75" x14ac:dyDescent="0.25">
      <c r="A9" s="34" t="s">
        <v>162</v>
      </c>
      <c r="B9" s="34" t="s">
        <v>46</v>
      </c>
      <c r="C9" s="34" t="s">
        <v>47</v>
      </c>
      <c r="D9" s="35">
        <v>1.1490999999999999E-2</v>
      </c>
      <c r="E9" s="36">
        <f>'Oct 13'!$D9*$C$6*$C$2</f>
        <v>2033254.2752748821</v>
      </c>
      <c r="F9" s="36">
        <v>574.67005649717498</v>
      </c>
      <c r="G9" s="37">
        <f>'Oct 13'!$E9/'Oct 13'!$F9</f>
        <v>3538.1246200094597</v>
      </c>
      <c r="H9" s="34">
        <v>3540</v>
      </c>
      <c r="I9" s="34">
        <f>ROUND(Table138958456799101112131445626789101112131415161718192021345678910[[#This Row],[Target Quantity]],0)</f>
        <v>3538</v>
      </c>
      <c r="J9" s="38">
        <f t="shared" ref="J9:J23" si="0">I9-H9</f>
        <v>-2</v>
      </c>
      <c r="K9" s="39">
        <f>'Oct 13'!$F9*'Oct 13'!$I9</f>
        <v>2033182.6598870051</v>
      </c>
      <c r="L9" s="40">
        <f>'Oct 13'!$K9/$K$2</f>
        <v>1.1480086905526488E-2</v>
      </c>
      <c r="M9" s="41"/>
      <c r="N9" s="42"/>
      <c r="O9" s="87"/>
    </row>
    <row r="10" spans="1:17" s="43" customFormat="1" ht="12.75" customHeight="1" x14ac:dyDescent="0.25">
      <c r="A10" s="34" t="s">
        <v>162</v>
      </c>
      <c r="B10" s="34" t="s">
        <v>55</v>
      </c>
      <c r="C10" s="34" t="s">
        <v>56</v>
      </c>
      <c r="D10" s="35">
        <v>1.1490999999999999E-2</v>
      </c>
      <c r="E10" s="36">
        <f>'Oct 13'!$D10*$C$6*$C$2</f>
        <v>2033254.2752748821</v>
      </c>
      <c r="F10" s="36">
        <v>444.40004452359801</v>
      </c>
      <c r="G10" s="37">
        <f>'Oct 13'!$E10/'Oct 13'!$F10</f>
        <v>4575.2791889446235</v>
      </c>
      <c r="H10" s="34">
        <v>4492</v>
      </c>
      <c r="I10" s="34">
        <f>ROUND(Table138958456799101112131445626789101112131415161718192021345678910[[#This Row],[Target Quantity]],0)</f>
        <v>4575</v>
      </c>
      <c r="J10" s="38">
        <f t="shared" si="0"/>
        <v>83</v>
      </c>
      <c r="K10" s="39">
        <f>'Oct 13'!$F10*'Oct 13'!$I10</f>
        <v>2033130.2036954609</v>
      </c>
      <c r="L10" s="40">
        <f>'Oct 13'!$K10/$K$2</f>
        <v>1.147979071883872E-2</v>
      </c>
      <c r="M10" s="41"/>
    </row>
    <row r="11" spans="1:17" s="43" customFormat="1" ht="12.75" customHeight="1" x14ac:dyDescent="0.25">
      <c r="A11" s="34" t="s">
        <v>162</v>
      </c>
      <c r="B11" s="34" t="s">
        <v>37</v>
      </c>
      <c r="C11" s="34" t="s">
        <v>38</v>
      </c>
      <c r="D11" s="35">
        <v>1.1490999999999999E-2</v>
      </c>
      <c r="E11" s="36">
        <f>'Oct 13'!$D11*$C$6*$C$2</f>
        <v>2033254.2752748821</v>
      </c>
      <c r="F11" s="36">
        <v>84.4599859672294</v>
      </c>
      <c r="G11" s="37">
        <f>'Oct 13'!$E11/'Oct 13'!$F11</f>
        <v>24073.58054811645</v>
      </c>
      <c r="H11" s="34">
        <v>24229</v>
      </c>
      <c r="I11" s="34">
        <f>ROUND(Table138958456799101112131445626789101112131415161718192021345678910[[#This Row],[Target Quantity]],0)</f>
        <v>24074</v>
      </c>
      <c r="J11" s="38">
        <f t="shared" si="0"/>
        <v>-155</v>
      </c>
      <c r="K11" s="39">
        <f>'Oct 13'!$F11*'Oct 13'!$I11</f>
        <v>2033289.7021750805</v>
      </c>
      <c r="L11" s="40">
        <f>'Oct 13'!$K11/$K$2</f>
        <v>1.1480691305118279E-2</v>
      </c>
      <c r="M11" s="41"/>
    </row>
    <row r="12" spans="1:17" s="44" customFormat="1" ht="12.75" customHeight="1" x14ac:dyDescent="0.25">
      <c r="A12" s="34" t="s">
        <v>162</v>
      </c>
      <c r="B12" s="34" t="s">
        <v>23</v>
      </c>
      <c r="C12" s="34" t="s">
        <v>24</v>
      </c>
      <c r="D12" s="35">
        <v>1.1490999999999999E-2</v>
      </c>
      <c r="E12" s="36">
        <f>'Oct 13'!$D12*$C$6*$C$2</f>
        <v>2033254.2752748821</v>
      </c>
      <c r="F12" s="36">
        <v>233.96004169562201</v>
      </c>
      <c r="G12" s="37">
        <f>'Oct 13'!$E12/'Oct 13'!$F12</f>
        <v>8690.6048594405311</v>
      </c>
      <c r="H12" s="34">
        <v>8634</v>
      </c>
      <c r="I12" s="34">
        <f>ROUND(Table138958456799101112131445626789101112131415161718192021345678910[[#This Row],[Target Quantity]],0)</f>
        <v>8691</v>
      </c>
      <c r="J12" s="38">
        <f t="shared" si="0"/>
        <v>57</v>
      </c>
      <c r="K12" s="39">
        <f>'Oct 13'!$F12*'Oct 13'!$I12</f>
        <v>2033346.7223766509</v>
      </c>
      <c r="L12" s="40">
        <f>'Oct 13'!$K12/$K$2</f>
        <v>1.1481013261862408E-2</v>
      </c>
      <c r="M12" s="34"/>
    </row>
    <row r="13" spans="1:17" s="44" customFormat="1" ht="12.75" customHeight="1" x14ac:dyDescent="0.25">
      <c r="A13" s="34" t="s">
        <v>162</v>
      </c>
      <c r="B13" s="34" t="s">
        <v>60</v>
      </c>
      <c r="C13" s="34" t="s">
        <v>61</v>
      </c>
      <c r="D13" s="35">
        <v>1.1490999999999999E-2</v>
      </c>
      <c r="E13" s="36">
        <f>'Oct 13'!$D13*$C$6*$C$2</f>
        <v>2033254.2752748821</v>
      </c>
      <c r="F13" s="36">
        <v>493</v>
      </c>
      <c r="G13" s="37">
        <f>'Oct 13'!$E13/'Oct 13'!$F13</f>
        <v>4124.2480228699433</v>
      </c>
      <c r="H13" s="34">
        <v>3968</v>
      </c>
      <c r="I13" s="34">
        <f>ROUND(Table138958456799101112131445626789101112131415161718192021345678910[[#This Row],[Target Quantity]],0)</f>
        <v>4124</v>
      </c>
      <c r="J13" s="38">
        <f t="shared" si="0"/>
        <v>156</v>
      </c>
      <c r="K13" s="39">
        <f>'Oct 13'!$F13*'Oct 13'!$I13</f>
        <v>2033132</v>
      </c>
      <c r="L13" s="40">
        <f>'Oct 13'!$K13/$K$2</f>
        <v>1.147980086142582E-2</v>
      </c>
      <c r="M13" s="34"/>
    </row>
    <row r="14" spans="1:17" s="44" customFormat="1" ht="12.75" customHeight="1" x14ac:dyDescent="0.25">
      <c r="A14" s="34" t="s">
        <v>162</v>
      </c>
      <c r="B14" s="34" t="s">
        <v>163</v>
      </c>
      <c r="C14" s="34" t="s">
        <v>164</v>
      </c>
      <c r="D14" s="35">
        <v>1.1490999999999999E-2</v>
      </c>
      <c r="E14" s="36">
        <f>'Oct 13'!$D14*$C$6*$C$2</f>
        <v>2033254.2752748821</v>
      </c>
      <c r="F14" s="36">
        <v>3488.50084317032</v>
      </c>
      <c r="G14" s="37">
        <f>'Oct 13'!$E14/'Oct 13'!$F14</f>
        <v>582.84471372725193</v>
      </c>
      <c r="H14" s="34">
        <v>593</v>
      </c>
      <c r="I14" s="34">
        <f>ROUND(Table138958456799101112131445626789101112131415161718192021345678910[[#This Row],[Target Quantity]],0)</f>
        <v>583</v>
      </c>
      <c r="J14" s="38">
        <f t="shared" si="0"/>
        <v>-10</v>
      </c>
      <c r="K14" s="39">
        <f>'Oct 13'!$F14*'Oct 13'!$I14</f>
        <v>2033795.9915682964</v>
      </c>
      <c r="L14" s="40">
        <f>'Oct 13'!$K14/$K$2</f>
        <v>1.1483549998706483E-2</v>
      </c>
      <c r="M14" s="34"/>
    </row>
    <row r="15" spans="1:17" s="44" customFormat="1" ht="12.75" customHeight="1" x14ac:dyDescent="0.25">
      <c r="A15" s="34" t="s">
        <v>162</v>
      </c>
      <c r="B15" s="34" t="s">
        <v>165</v>
      </c>
      <c r="C15" s="34" t="s">
        <v>166</v>
      </c>
      <c r="D15" s="35">
        <v>1.1490999999999999E-2</v>
      </c>
      <c r="E15" s="36">
        <f>'Oct 13'!$D15*$C$6*$C$2</f>
        <v>2033254.2752748821</v>
      </c>
      <c r="F15" s="36">
        <v>301.660024154589</v>
      </c>
      <c r="G15" s="37">
        <f>'Oct 13'!$E15/'Oct 13'!$F15</f>
        <v>6740.2178361986689</v>
      </c>
      <c r="H15" s="34">
        <v>6624</v>
      </c>
      <c r="I15" s="34">
        <f>ROUND(Table138958456799101112131445626789101112131415161718192021345678910[[#This Row],[Target Quantity]],0)</f>
        <v>6740</v>
      </c>
      <c r="J15" s="38">
        <f t="shared" si="0"/>
        <v>116</v>
      </c>
      <c r="K15" s="39">
        <f>'Oct 13'!$F15*'Oct 13'!$I15</f>
        <v>2033188.5628019299</v>
      </c>
      <c r="L15" s="40">
        <f>'Oct 13'!$K15/$K$2</f>
        <v>1.1480120235525641E-2</v>
      </c>
      <c r="M15" s="34"/>
    </row>
    <row r="16" spans="1:17" s="44" customFormat="1" ht="12.75" customHeight="1" x14ac:dyDescent="0.25">
      <c r="A16" s="34" t="s">
        <v>162</v>
      </c>
      <c r="B16" s="34" t="s">
        <v>43</v>
      </c>
      <c r="C16" s="34" t="s">
        <v>44</v>
      </c>
      <c r="D16" s="35">
        <v>1.1490999999999999E-2</v>
      </c>
      <c r="E16" s="36">
        <f>'Oct 13'!$D16*$C$6*$C$2</f>
        <v>2033254.2752748821</v>
      </c>
      <c r="F16" s="36">
        <v>1215.7498482088599</v>
      </c>
      <c r="G16" s="37">
        <f>'Oct 13'!$E16/'Oct 13'!$F16</f>
        <v>1672.428154747817</v>
      </c>
      <c r="H16" s="34">
        <v>1647</v>
      </c>
      <c r="I16" s="34">
        <f>ROUND(Table138958456799101112131445626789101112131415161718192021345678910[[#This Row],[Target Quantity]],0)</f>
        <v>1672</v>
      </c>
      <c r="J16" s="38">
        <f t="shared" si="0"/>
        <v>25</v>
      </c>
      <c r="K16" s="39">
        <f>'Oct 13'!$F16*'Oct 13'!$I16</f>
        <v>2032733.7462052137</v>
      </c>
      <c r="L16" s="40">
        <f>'Oct 13'!$K16/$K$2</f>
        <v>1.1477552176020025E-2</v>
      </c>
      <c r="M16" s="34"/>
    </row>
    <row r="17" spans="1:15" s="44" customFormat="1" ht="12.75" customHeight="1" x14ac:dyDescent="0.25">
      <c r="A17" s="34" t="s">
        <v>162</v>
      </c>
      <c r="B17" s="34" t="s">
        <v>167</v>
      </c>
      <c r="C17" s="34" t="s">
        <v>168</v>
      </c>
      <c r="D17" s="35">
        <v>1.1490999999999999E-2</v>
      </c>
      <c r="E17" s="36">
        <f>'Oct 13'!$D17*$C$6*$C$2</f>
        <v>2033254.2752748821</v>
      </c>
      <c r="F17" s="36">
        <v>176.540005304571</v>
      </c>
      <c r="G17" s="37">
        <f>'Oct 13'!$E17/'Oct 13'!$F17</f>
        <v>11517.243764477427</v>
      </c>
      <c r="H17" s="34">
        <v>11311</v>
      </c>
      <c r="I17" s="34">
        <f>ROUND(Table138958456799101112131445626789101112131415161718192021345678910[[#This Row],[Target Quantity]],0)</f>
        <v>11517</v>
      </c>
      <c r="J17" s="38">
        <f t="shared" si="0"/>
        <v>206</v>
      </c>
      <c r="K17" s="39">
        <f>'Oct 13'!$F17*'Oct 13'!$I17</f>
        <v>2033211.2410927443</v>
      </c>
      <c r="L17" s="40">
        <f>'Oct 13'!$K17/$K$2</f>
        <v>1.1480248285382919E-2</v>
      </c>
      <c r="M17" s="34"/>
    </row>
    <row r="18" spans="1:15" s="44" customFormat="1" ht="12.75" customHeight="1" x14ac:dyDescent="0.25">
      <c r="A18" s="34" t="s">
        <v>162</v>
      </c>
      <c r="B18" s="34" t="s">
        <v>28</v>
      </c>
      <c r="C18" s="34" t="s">
        <v>29</v>
      </c>
      <c r="D18" s="35">
        <v>1.1490999999999999E-2</v>
      </c>
      <c r="E18" s="36">
        <f>'Oct 13'!$D18*$C$6*$C$2</f>
        <v>2033254.2752748821</v>
      </c>
      <c r="F18" s="36">
        <v>273.50006928086498</v>
      </c>
      <c r="G18" s="37">
        <f>'Oct 13'!$E18/'Oct 13'!$F18</f>
        <v>7434.2002202086305</v>
      </c>
      <c r="H18" s="34">
        <v>7217</v>
      </c>
      <c r="I18" s="34">
        <f>ROUND(Table138958456799101112131445626789101112131415161718192021345678910[[#This Row],[Target Quantity]],0)</f>
        <v>7434</v>
      </c>
      <c r="J18" s="38">
        <f t="shared" si="0"/>
        <v>217</v>
      </c>
      <c r="K18" s="39">
        <f>'Oct 13'!$F18*'Oct 13'!$I18</f>
        <v>2033199.5150339503</v>
      </c>
      <c r="L18" s="40">
        <f>'Oct 13'!$K18/$K$2</f>
        <v>1.1480182075800932E-2</v>
      </c>
      <c r="M18" s="34"/>
    </row>
    <row r="19" spans="1:15" s="44" customFormat="1" ht="12.75" customHeight="1" x14ac:dyDescent="0.25">
      <c r="A19" s="34" t="s">
        <v>162</v>
      </c>
      <c r="B19" s="34" t="s">
        <v>173</v>
      </c>
      <c r="C19" s="34" t="s">
        <v>174</v>
      </c>
      <c r="D19" s="35">
        <v>1.1490999999999999E-2</v>
      </c>
      <c r="E19" s="36">
        <f>'Oct 13'!$D19*$C$6*$C$2</f>
        <v>2033254.2752748821</v>
      </c>
      <c r="F19" s="36">
        <v>84.89999149949</v>
      </c>
      <c r="G19" s="37">
        <f>'Oct 13'!$E19/'Oct 13'!$F19</f>
        <v>23948.816005324286</v>
      </c>
      <c r="H19" s="34">
        <v>23528</v>
      </c>
      <c r="I19" s="34">
        <f>ROUND(Table138958456799101112131445626789101112131415161718192021345678910[[#This Row],[Target Quantity]],0)</f>
        <v>23949</v>
      </c>
      <c r="J19" s="38">
        <f t="shared" si="0"/>
        <v>421</v>
      </c>
      <c r="K19" s="39">
        <f>'Oct 13'!$F19*'Oct 13'!$I19</f>
        <v>2033269.896421286</v>
      </c>
      <c r="L19" s="40">
        <f>'Oct 13'!$K19/$K$2</f>
        <v>1.1480579474647128E-2</v>
      </c>
      <c r="M19" s="34"/>
    </row>
    <row r="20" spans="1:15" s="44" customFormat="1" ht="12.75" customHeight="1" x14ac:dyDescent="0.25">
      <c r="A20" s="34" t="s">
        <v>162</v>
      </c>
      <c r="B20" s="34" t="s">
        <v>19</v>
      </c>
      <c r="C20" s="34" t="s">
        <v>20</v>
      </c>
      <c r="D20" s="35">
        <v>1.1490999999999999E-2</v>
      </c>
      <c r="E20" s="36">
        <f>'Oct 13'!$D20*$C$6*$C$2</f>
        <v>2033254.2752748821</v>
      </c>
      <c r="F20" s="36">
        <v>1278.9299156392001</v>
      </c>
      <c r="G20" s="37">
        <f>'Oct 13'!$E20/'Oct 13'!$F20</f>
        <v>1589.8089882889917</v>
      </c>
      <c r="H20" s="34">
        <v>1541</v>
      </c>
      <c r="I20" s="34">
        <f>ROUND(Table138958456799101112131445626789101112131415161718192021345678910[[#This Row],[Target Quantity]],0)</f>
        <v>1590</v>
      </c>
      <c r="J20" s="38">
        <f t="shared" si="0"/>
        <v>49</v>
      </c>
      <c r="K20" s="39">
        <f>'Oct 13'!$F20*'Oct 13'!$I20</f>
        <v>2033498.5658663281</v>
      </c>
      <c r="L20" s="40">
        <f>'Oct 13'!$K20/$K$2</f>
        <v>1.148187062529164E-2</v>
      </c>
      <c r="M20" s="34"/>
    </row>
    <row r="21" spans="1:15" s="44" customFormat="1" ht="12.75" customHeight="1" x14ac:dyDescent="0.25">
      <c r="A21" s="34" t="s">
        <v>162</v>
      </c>
      <c r="B21" s="34" t="s">
        <v>25</v>
      </c>
      <c r="C21" s="34" t="s">
        <v>26</v>
      </c>
      <c r="D21" s="35">
        <v>5.7450000000000001E-3</v>
      </c>
      <c r="E21" s="36">
        <f>'Oct 13'!$D21*$C$6*$C$2</f>
        <v>1016538.6660390043</v>
      </c>
      <c r="F21" s="36">
        <v>16.810006266973101</v>
      </c>
      <c r="G21" s="37">
        <f>'Oct 13'!$E21/'Oct 13'!$F21</f>
        <v>60472.235994118266</v>
      </c>
      <c r="H21" s="34">
        <v>57444</v>
      </c>
      <c r="I21" s="34">
        <f>ROUND(Table138958456799101112131445626789101112131415161718192021345678910[[#This Row],[Target Quantity]],0)</f>
        <v>60472</v>
      </c>
      <c r="J21" s="38">
        <f t="shared" si="0"/>
        <v>3028</v>
      </c>
      <c r="K21" s="39">
        <f>'Oct 13'!$F21*'Oct 13'!$I21</f>
        <v>1016534.6989763974</v>
      </c>
      <c r="L21" s="40">
        <f>'Oct 13'!$K21/$K$2</f>
        <v>5.7397236937781135E-3</v>
      </c>
      <c r="M21" s="34"/>
    </row>
    <row r="22" spans="1:15" s="44" customFormat="1" ht="12.75" customHeight="1" x14ac:dyDescent="0.25">
      <c r="A22" s="34" t="s">
        <v>162</v>
      </c>
      <c r="B22" s="34" t="s">
        <v>209</v>
      </c>
      <c r="C22" s="34" t="s">
        <v>210</v>
      </c>
      <c r="D22" s="35">
        <v>5.7450000000000001E-3</v>
      </c>
      <c r="E22" s="36">
        <f>'Oct 13'!$D22*$C$6*$C$2</f>
        <v>1016538.6660390043</v>
      </c>
      <c r="F22" s="36">
        <v>199.100059796691</v>
      </c>
      <c r="G22" s="37">
        <f>'Oct 13'!$E22/'Oct 13'!$F22</f>
        <v>5105.6673065645109</v>
      </c>
      <c r="H22" s="34">
        <v>5017</v>
      </c>
      <c r="I22" s="34">
        <f>ROUND(Table138958456799101112131445626789101112131415161718192021345678910[[#This Row],[Target Quantity]],0)</f>
        <v>5106</v>
      </c>
      <c r="J22" s="38">
        <f t="shared" si="0"/>
        <v>89</v>
      </c>
      <c r="K22" s="39">
        <f>'Oct 13'!$F22*'Oct 13'!$I22</f>
        <v>1016604.9053219042</v>
      </c>
      <c r="L22" s="40">
        <f>'Oct 13'!$K22/$K$2</f>
        <v>5.7401201042746406E-3</v>
      </c>
      <c r="M22" s="34"/>
    </row>
    <row r="23" spans="1:15" s="44" customFormat="1" ht="12.75" customHeight="1" x14ac:dyDescent="0.25">
      <c r="A23" s="34" t="s">
        <v>162</v>
      </c>
      <c r="B23" s="34" t="s">
        <v>211</v>
      </c>
      <c r="C23" s="34" t="s">
        <v>212</v>
      </c>
      <c r="D23" s="35">
        <v>1.1490999999999999E-2</v>
      </c>
      <c r="E23" s="36">
        <f>'Oct 13'!$D23*$C$6*$C$2</f>
        <v>2033254.2752748821</v>
      </c>
      <c r="F23" s="36">
        <v>118.330028913672</v>
      </c>
      <c r="G23" s="37">
        <f>'Oct 13'!$E23/'Oct 13'!$F23</f>
        <v>17182.910322435975</v>
      </c>
      <c r="H23" s="34">
        <v>16947</v>
      </c>
      <c r="I23" s="34">
        <f>ROUND(Table138958456799101112131445626789101112131415161718192021345678910[[#This Row],[Target Quantity]],0)</f>
        <v>17183</v>
      </c>
      <c r="J23" s="38">
        <f t="shared" si="0"/>
        <v>236</v>
      </c>
      <c r="K23" s="39">
        <f>'Oct 13'!$F23*'Oct 13'!$I23</f>
        <v>2033264.886823626</v>
      </c>
      <c r="L23" s="40">
        <f>'Oct 13'!$K23/$K$2</f>
        <v>1.1480551188641334E-2</v>
      </c>
      <c r="M23" s="34"/>
    </row>
    <row r="24" spans="1:15" s="44" customFormat="1" ht="12.75" customHeight="1" x14ac:dyDescent="0.25">
      <c r="A24" s="34"/>
      <c r="B24" s="34"/>
      <c r="C24" s="34"/>
      <c r="D24" s="35"/>
      <c r="E24" s="36"/>
      <c r="F24" s="36"/>
      <c r="G24" s="37"/>
      <c r="H24" s="34"/>
      <c r="I24" s="34"/>
      <c r="J24" s="45"/>
      <c r="K24" s="36"/>
      <c r="L24" s="46"/>
      <c r="M24" s="34"/>
    </row>
    <row r="25" spans="1:15" s="53" customFormat="1" ht="12.75" customHeight="1" x14ac:dyDescent="0.25">
      <c r="A25" s="47" t="s">
        <v>175</v>
      </c>
      <c r="B25" s="47"/>
      <c r="C25" s="47"/>
      <c r="D25" s="48">
        <f>SUM(D9:D24)</f>
        <v>0.16087299999999999</v>
      </c>
      <c r="E25" s="49">
        <f>'Oct 13'!$D25*$C$6*$C$2</f>
        <v>28465382.910651471</v>
      </c>
      <c r="F25" s="50"/>
      <c r="G25" s="50"/>
      <c r="H25" s="47"/>
      <c r="I25" s="47"/>
      <c r="J25" s="51"/>
      <c r="K25" s="49">
        <f>SUM(K9:K24)</f>
        <v>28465383.298245873</v>
      </c>
      <c r="L25" s="52">
        <f>'Oct 13'!$K25/$K$2</f>
        <v>0.16072588091084056</v>
      </c>
      <c r="M25" s="47"/>
    </row>
    <row r="26" spans="1:15" s="44" customFormat="1" ht="12.75" customHeight="1" x14ac:dyDescent="0.25">
      <c r="A26" s="34"/>
      <c r="B26" s="34"/>
      <c r="C26" s="34"/>
      <c r="D26" s="35"/>
      <c r="E26" s="36"/>
      <c r="F26" s="36"/>
      <c r="G26" s="37"/>
      <c r="H26" s="34"/>
      <c r="I26" s="34"/>
      <c r="J26" s="45"/>
      <c r="K26" s="36"/>
      <c r="L26" s="40"/>
      <c r="M26" s="34"/>
    </row>
    <row r="27" spans="1:15" s="43" customFormat="1" ht="12.75" customHeight="1" x14ac:dyDescent="0.25">
      <c r="A27" s="54"/>
      <c r="B27" s="47" t="s">
        <v>34</v>
      </c>
      <c r="C27" s="54" t="s">
        <v>35</v>
      </c>
      <c r="D27" s="55">
        <v>2.4374E-2</v>
      </c>
      <c r="E27" s="56">
        <f>'Oct 13'!$D27*$C$6*$C$2</f>
        <v>4312813.4805978574</v>
      </c>
      <c r="F27" s="50">
        <v>18.350001272901601</v>
      </c>
      <c r="G27" s="57">
        <f>'Oct 13'!$E27/'Oct 13'!$F27</f>
        <v>235030.6910859354</v>
      </c>
      <c r="H27" s="54">
        <v>235682</v>
      </c>
      <c r="I27" s="54">
        <f>ROUND(Table138958456799101112131445626789101112131415161718192021345678910[[#This Row],[Target Quantity]],0)</f>
        <v>235031</v>
      </c>
      <c r="J27" s="58">
        <f>I27-H27</f>
        <v>-651</v>
      </c>
      <c r="K27" s="59">
        <f>'Oct 13'!$F27*'Oct 13'!$I27</f>
        <v>4312819.1491713366</v>
      </c>
      <c r="L27" s="52">
        <f>'Oct 13'!$K27/$K$2</f>
        <v>2.4351741541538314E-2</v>
      </c>
      <c r="M27" s="47"/>
      <c r="O27" s="42"/>
    </row>
    <row r="28" spans="1:15" s="43" customFormat="1" ht="12.75" customHeight="1" x14ac:dyDescent="0.25">
      <c r="A28" s="34"/>
      <c r="B28" s="34"/>
      <c r="C28" s="34"/>
      <c r="D28" s="35"/>
      <c r="E28" s="36"/>
      <c r="F28" s="36"/>
      <c r="G28" s="37"/>
      <c r="H28" s="34"/>
      <c r="I28" s="34"/>
      <c r="J28" s="45"/>
      <c r="K28" s="39"/>
      <c r="L28" s="40"/>
      <c r="M28" s="34"/>
      <c r="O28" s="42"/>
    </row>
    <row r="29" spans="1:15" s="2" customFormat="1" ht="25.5" x14ac:dyDescent="0.2">
      <c r="A29" s="34" t="s">
        <v>176</v>
      </c>
      <c r="B29" s="60" t="s">
        <v>109</v>
      </c>
      <c r="C29" s="61" t="s">
        <v>110</v>
      </c>
      <c r="D29" s="35">
        <v>2.4374E-2</v>
      </c>
      <c r="E29" s="36">
        <f>'Oct 13'!$D29*$C$6*$C$2</f>
        <v>4312813.4805978574</v>
      </c>
      <c r="F29" s="36">
        <v>158771.785714286</v>
      </c>
      <c r="G29" s="37">
        <f>'Oct 13'!$E29/'Oct 13'!$F29</f>
        <v>27.163601273332521</v>
      </c>
      <c r="H29" s="34">
        <v>28</v>
      </c>
      <c r="I29" s="34">
        <v>27</v>
      </c>
      <c r="J29" s="38">
        <f t="shared" ref="J29:J40" si="1">I29-H29</f>
        <v>-1</v>
      </c>
      <c r="K29" s="39">
        <f>'Oct 13'!$F29*'Oct 13'!$I29</f>
        <v>4286838.214285722</v>
      </c>
      <c r="L29" s="40">
        <f>'Oct 13'!$K29/$K$2</f>
        <v>2.4205043757685361E-2</v>
      </c>
      <c r="M29" s="62"/>
    </row>
    <row r="30" spans="1:15" s="2" customFormat="1" ht="25.5" x14ac:dyDescent="0.2">
      <c r="A30" s="34" t="s">
        <v>176</v>
      </c>
      <c r="B30" s="60" t="s">
        <v>115</v>
      </c>
      <c r="C30" s="61" t="s">
        <v>116</v>
      </c>
      <c r="D30" s="35">
        <v>2.4374E-2</v>
      </c>
      <c r="E30" s="36">
        <f>'Oct 13'!$D30*$C$6*$C$2</f>
        <v>4312813.4805978574</v>
      </c>
      <c r="F30" s="36">
        <v>218019.45</v>
      </c>
      <c r="G30" s="37">
        <f>'Oct 13'!$E30/'Oct 13'!$F30</f>
        <v>19.78178314181536</v>
      </c>
      <c r="H30" s="34">
        <v>20</v>
      </c>
      <c r="I30" s="34">
        <v>20</v>
      </c>
      <c r="J30" s="38">
        <f t="shared" si="1"/>
        <v>0</v>
      </c>
      <c r="K30" s="39">
        <f>'Oct 13'!$F30*'Oct 13'!$I30</f>
        <v>4360389</v>
      </c>
      <c r="L30" s="40">
        <f>'Oct 13'!$K30/$K$2</f>
        <v>2.46203381769367E-2</v>
      </c>
      <c r="M30" s="62"/>
    </row>
    <row r="31" spans="1:15" s="2" customFormat="1" ht="25.5" x14ac:dyDescent="0.2">
      <c r="A31" s="34" t="s">
        <v>176</v>
      </c>
      <c r="B31" s="60" t="s">
        <v>121</v>
      </c>
      <c r="C31" s="61" t="s">
        <v>122</v>
      </c>
      <c r="D31" s="35">
        <v>2.4374E-2</v>
      </c>
      <c r="E31" s="36">
        <f>'Oct 13'!$D31*$C$6*$C$2</f>
        <v>4312813.4805978574</v>
      </c>
      <c r="F31" s="36">
        <v>174519.84</v>
      </c>
      <c r="G31" s="37">
        <f>'Oct 13'!$E31/'Oct 13'!$F31</f>
        <v>24.712453785184866</v>
      </c>
      <c r="H31" s="34">
        <v>25</v>
      </c>
      <c r="I31" s="34">
        <v>25</v>
      </c>
      <c r="J31" s="38">
        <f t="shared" si="1"/>
        <v>0</v>
      </c>
      <c r="K31" s="39">
        <f>'Oct 13'!$F31*'Oct 13'!$I31</f>
        <v>4362996</v>
      </c>
      <c r="L31" s="40">
        <f>'Oct 13'!$K31/$K$2</f>
        <v>2.4635058244716724E-2</v>
      </c>
      <c r="M31" s="62"/>
    </row>
    <row r="32" spans="1:15" s="2" customFormat="1" ht="25.5" x14ac:dyDescent="0.2">
      <c r="A32" s="34" t="s">
        <v>176</v>
      </c>
      <c r="B32" s="60" t="s">
        <v>124</v>
      </c>
      <c r="C32" s="61" t="s">
        <v>125</v>
      </c>
      <c r="D32" s="35">
        <v>2.4374E-2</v>
      </c>
      <c r="E32" s="36">
        <f>'Oct 13'!$D32*$C$6*$C$2</f>
        <v>4312813.4805978574</v>
      </c>
      <c r="F32" s="36">
        <v>125758.371428571</v>
      </c>
      <c r="G32" s="37">
        <f>'Oct 13'!$E32/'Oct 13'!$F32</f>
        <v>34.29444443026582</v>
      </c>
      <c r="H32" s="34">
        <v>35</v>
      </c>
      <c r="I32" s="34">
        <v>34</v>
      </c>
      <c r="J32" s="38">
        <f t="shared" si="1"/>
        <v>-1</v>
      </c>
      <c r="K32" s="39">
        <f>'Oct 13'!$F32*'Oct 13'!$I32</f>
        <v>4275784.6285714144</v>
      </c>
      <c r="L32" s="40">
        <f>'Oct 13'!$K32/$K$2</f>
        <v>2.4142631202669278E-2</v>
      </c>
      <c r="M32" s="62"/>
    </row>
    <row r="33" spans="1:15" s="2" customFormat="1" ht="25.5" x14ac:dyDescent="0.2">
      <c r="A33" s="34" t="s">
        <v>176</v>
      </c>
      <c r="B33" s="60" t="s">
        <v>127</v>
      </c>
      <c r="C33" s="61" t="s">
        <v>128</v>
      </c>
      <c r="D33" s="35">
        <v>2.4374E-2</v>
      </c>
      <c r="E33" s="36">
        <f>'Oct 13'!$D33*$C$6*$C$2</f>
        <v>4312813.4805978574</v>
      </c>
      <c r="F33" s="36">
        <v>138958.34375</v>
      </c>
      <c r="G33" s="37">
        <f>'Oct 13'!$E33/'Oct 13'!$F33</f>
        <v>31.036736364367162</v>
      </c>
      <c r="H33" s="34">
        <v>32</v>
      </c>
      <c r="I33" s="34">
        <v>31</v>
      </c>
      <c r="J33" s="38">
        <f t="shared" si="1"/>
        <v>-1</v>
      </c>
      <c r="K33" s="39">
        <f>'Oct 13'!$F33*'Oct 13'!$I33</f>
        <v>4307708.65625</v>
      </c>
      <c r="L33" s="40">
        <f>'Oct 13'!$K33/$K$2</f>
        <v>2.4322885844495195E-2</v>
      </c>
      <c r="M33" s="62"/>
    </row>
    <row r="34" spans="1:15" s="2" customFormat="1" ht="25.5" x14ac:dyDescent="0.2">
      <c r="A34" s="34" t="s">
        <v>176</v>
      </c>
      <c r="B34" s="60" t="s">
        <v>135</v>
      </c>
      <c r="C34" s="61" t="s">
        <v>136</v>
      </c>
      <c r="D34" s="35">
        <v>2.4374E-2</v>
      </c>
      <c r="E34" s="36">
        <f>'Oct 13'!$D34*$C$6*$C$2</f>
        <v>4312813.4805978574</v>
      </c>
      <c r="F34" s="36">
        <v>220832.95</v>
      </c>
      <c r="G34" s="37">
        <f>'Oct 13'!$E34/'Oct 13'!$F34</f>
        <v>19.529755322282554</v>
      </c>
      <c r="H34" s="34">
        <v>20</v>
      </c>
      <c r="I34" s="34">
        <v>20</v>
      </c>
      <c r="J34" s="38">
        <f t="shared" si="1"/>
        <v>0</v>
      </c>
      <c r="K34" s="39">
        <f>'Oct 13'!$F34*'Oct 13'!$I34</f>
        <v>4416659</v>
      </c>
      <c r="L34" s="40">
        <f>'Oct 13'!$K34/$K$2</f>
        <v>2.4938059010838499E-2</v>
      </c>
      <c r="M34" s="62"/>
    </row>
    <row r="35" spans="1:15" s="43" customFormat="1" ht="25.5" customHeight="1" x14ac:dyDescent="0.25">
      <c r="A35" s="34" t="s">
        <v>177</v>
      </c>
      <c r="B35" s="34" t="s">
        <v>178</v>
      </c>
      <c r="C35" s="34" t="s">
        <v>179</v>
      </c>
      <c r="D35" s="35">
        <v>2.4374E-2</v>
      </c>
      <c r="E35" s="36">
        <f>'Oct 13'!$D35*$C$6*$C$2</f>
        <v>4312813.4805978574</v>
      </c>
      <c r="F35" s="36">
        <v>97325.377777777801</v>
      </c>
      <c r="G35" s="37">
        <f>'Oct 13'!$E35/'Oct 13'!$F35</f>
        <v>44.313349499092283</v>
      </c>
      <c r="H35" s="34">
        <v>45</v>
      </c>
      <c r="I35" s="34">
        <v>44</v>
      </c>
      <c r="J35" s="38">
        <f t="shared" si="1"/>
        <v>-1</v>
      </c>
      <c r="K35" s="39">
        <f>'Oct 13'!$F35*'Oct 13'!$I35</f>
        <v>4282316.6222222233</v>
      </c>
      <c r="L35" s="40">
        <f>'Oct 13'!$K35/$K$2</f>
        <v>2.4179513208529884E-2</v>
      </c>
      <c r="M35" s="41"/>
      <c r="O35" s="42"/>
    </row>
    <row r="36" spans="1:15" s="43" customFormat="1" ht="25.5" customHeight="1" x14ac:dyDescent="0.25">
      <c r="A36" s="34" t="s">
        <v>177</v>
      </c>
      <c r="B36" s="34" t="s">
        <v>76</v>
      </c>
      <c r="C36" s="34" t="s">
        <v>77</v>
      </c>
      <c r="D36" s="35">
        <v>2.4374E-2</v>
      </c>
      <c r="E36" s="36">
        <f>'Oct 13'!$D36*$C$6*$C$2</f>
        <v>4312813.4805978574</v>
      </c>
      <c r="F36" s="36">
        <v>115702.75</v>
      </c>
      <c r="G36" s="37">
        <f>'Oct 13'!$E36/'Oct 13'!$F36</f>
        <v>37.274943599852705</v>
      </c>
      <c r="H36" s="34">
        <v>36</v>
      </c>
      <c r="I36" s="34">
        <v>37</v>
      </c>
      <c r="J36" s="38">
        <f t="shared" si="1"/>
        <v>1</v>
      </c>
      <c r="K36" s="39">
        <f>'Oct 13'!$F36*'Oct 13'!$I36</f>
        <v>4281001.75</v>
      </c>
      <c r="L36" s="40">
        <f>'Oct 13'!$K36/$K$2</f>
        <v>2.4172088962947532E-2</v>
      </c>
      <c r="M36" s="41"/>
    </row>
    <row r="37" spans="1:15" s="43" customFormat="1" ht="25.5" customHeight="1" x14ac:dyDescent="0.25">
      <c r="A37" s="34" t="s">
        <v>177</v>
      </c>
      <c r="B37" s="34" t="s">
        <v>180</v>
      </c>
      <c r="C37" s="34" t="s">
        <v>181</v>
      </c>
      <c r="D37" s="35">
        <v>2.4374E-2</v>
      </c>
      <c r="E37" s="36">
        <f>'Oct 13'!$D37*$C$6*$C$2</f>
        <v>4312813.4805978574</v>
      </c>
      <c r="F37" s="36">
        <v>114978.184210526</v>
      </c>
      <c r="G37" s="37">
        <f>'Oct 13'!$E37/'Oct 13'!$F37</f>
        <v>37.509841629617846</v>
      </c>
      <c r="H37" s="34">
        <v>38</v>
      </c>
      <c r="I37" s="34">
        <v>38</v>
      </c>
      <c r="J37" s="38">
        <f t="shared" si="1"/>
        <v>0</v>
      </c>
      <c r="K37" s="39">
        <f>'Oct 13'!$F37*'Oct 13'!$I37</f>
        <v>4369170.9999999879</v>
      </c>
      <c r="L37" s="40">
        <f>'Oct 13'!$K37/$K$2</f>
        <v>2.4669924534912915E-2</v>
      </c>
      <c r="M37" s="41"/>
    </row>
    <row r="38" spans="1:15" s="43" customFormat="1" ht="25.5" x14ac:dyDescent="0.25">
      <c r="A38" s="34" t="s">
        <v>177</v>
      </c>
      <c r="B38" s="34" t="s">
        <v>71</v>
      </c>
      <c r="C38" s="34" t="s">
        <v>72</v>
      </c>
      <c r="D38" s="35">
        <v>2.4374E-2</v>
      </c>
      <c r="E38" s="36">
        <f>'Oct 13'!$D38*$C$6*$C$2</f>
        <v>4312813.4805978574</v>
      </c>
      <c r="F38" s="36">
        <v>134036.24242424199</v>
      </c>
      <c r="G38" s="37">
        <f>'Oct 13'!$E38/'Oct 13'!$F38</f>
        <v>32.176472591250707</v>
      </c>
      <c r="H38" s="34">
        <v>33</v>
      </c>
      <c r="I38" s="34">
        <v>32</v>
      </c>
      <c r="J38" s="38">
        <f t="shared" si="1"/>
        <v>-1</v>
      </c>
      <c r="K38" s="39">
        <f>'Oct 13'!$F38*'Oct 13'!$I38</f>
        <v>4289159.7575757438</v>
      </c>
      <c r="L38" s="40">
        <f>'Oct 13'!$K38/$K$2</f>
        <v>2.4218152033321488E-2</v>
      </c>
      <c r="M38" s="41"/>
    </row>
    <row r="39" spans="1:15" s="43" customFormat="1" ht="25.5" x14ac:dyDescent="0.25">
      <c r="A39" s="34" t="s">
        <v>177</v>
      </c>
      <c r="B39" s="34" t="s">
        <v>67</v>
      </c>
      <c r="C39" s="34" t="s">
        <v>68</v>
      </c>
      <c r="D39" s="35">
        <v>2.4374E-2</v>
      </c>
      <c r="E39" s="36">
        <f>'Oct 13'!$D39*$C$6*$C$2</f>
        <v>4312813.4805978574</v>
      </c>
      <c r="F39" s="36">
        <v>176980.2</v>
      </c>
      <c r="G39" s="37">
        <f>'Oct 13'!$E39/'Oct 13'!$F39</f>
        <v>24.368903869460297</v>
      </c>
      <c r="H39" s="34">
        <v>25</v>
      </c>
      <c r="I39" s="34">
        <v>24</v>
      </c>
      <c r="J39" s="38">
        <f t="shared" si="1"/>
        <v>-1</v>
      </c>
      <c r="K39" s="39">
        <f>'Oct 13'!$F39*'Oct 13'!$I39</f>
        <v>4247524.8000000007</v>
      </c>
      <c r="L39" s="40">
        <f>'Oct 13'!$K39/$K$2</f>
        <v>2.398306595831827E-2</v>
      </c>
      <c r="M39" s="41"/>
    </row>
    <row r="40" spans="1:15" s="43" customFormat="1" ht="25.5" x14ac:dyDescent="0.25">
      <c r="A40" s="34" t="s">
        <v>177</v>
      </c>
      <c r="B40" s="34" t="s">
        <v>80</v>
      </c>
      <c r="C40" s="34" t="s">
        <v>81</v>
      </c>
      <c r="D40" s="35">
        <v>2.4374E-2</v>
      </c>
      <c r="E40" s="36">
        <f>'Oct 13'!$D40*$C$6*$C$2</f>
        <v>4312813.4805978574</v>
      </c>
      <c r="F40" s="36">
        <v>264058.11764705903</v>
      </c>
      <c r="G40" s="37">
        <f>'Oct 13'!$E40/'Oct 13'!$F40</f>
        <v>16.332819149920542</v>
      </c>
      <c r="H40" s="34">
        <v>17</v>
      </c>
      <c r="I40" s="34">
        <v>16</v>
      </c>
      <c r="J40" s="38">
        <f t="shared" si="1"/>
        <v>-1</v>
      </c>
      <c r="K40" s="39">
        <f>'Oct 13'!$F40*'Oct 13'!$I40</f>
        <v>4224929.8823529445</v>
      </c>
      <c r="L40" s="40">
        <f>'Oct 13'!$K40/$K$2</f>
        <v>2.3855486856189868E-2</v>
      </c>
      <c r="M40" s="41"/>
    </row>
    <row r="41" spans="1:15" s="64" customFormat="1" ht="12.75" x14ac:dyDescent="0.2">
      <c r="A41" s="34"/>
      <c r="B41" s="61"/>
      <c r="C41" s="61"/>
      <c r="D41" s="35"/>
      <c r="E41" s="63"/>
      <c r="F41" s="36"/>
      <c r="G41" s="37"/>
      <c r="H41" s="34"/>
      <c r="I41" s="34"/>
      <c r="J41" s="45"/>
      <c r="K41" s="36"/>
      <c r="L41" s="46"/>
      <c r="M41" s="62"/>
    </row>
    <row r="42" spans="1:15" s="15" customFormat="1" ht="12.75" x14ac:dyDescent="0.2">
      <c r="A42" s="47" t="s">
        <v>182</v>
      </c>
      <c r="B42" s="65"/>
      <c r="C42" s="65"/>
      <c r="D42" s="55">
        <f>SUBTOTAL(9,D29:D41)</f>
        <v>0.29248800000000003</v>
      </c>
      <c r="E42" s="66">
        <f>'Oct 13'!$D42*$C$6*$C$2</f>
        <v>51753761.767174289</v>
      </c>
      <c r="F42" s="67"/>
      <c r="G42" s="68"/>
      <c r="H42" s="54"/>
      <c r="I42" s="54"/>
      <c r="J42" s="58"/>
      <c r="K42" s="66">
        <f>SUM(K29:K41)</f>
        <v>51704479.311258033</v>
      </c>
      <c r="L42" s="69">
        <f>'Oct 13'!$K42/$K$2</f>
        <v>0.29194224779156169</v>
      </c>
      <c r="M42" s="70"/>
    </row>
    <row r="43" spans="1:15" s="64" customFormat="1" ht="12.75" x14ac:dyDescent="0.2">
      <c r="A43" s="34"/>
      <c r="B43" s="61"/>
      <c r="C43" s="61"/>
      <c r="D43" s="35"/>
      <c r="E43" s="63"/>
      <c r="F43" s="36"/>
      <c r="G43" s="37"/>
      <c r="H43" s="34"/>
      <c r="I43" s="34"/>
      <c r="J43" s="45"/>
      <c r="K43" s="36"/>
      <c r="L43" s="40"/>
      <c r="M43" s="62"/>
    </row>
    <row r="44" spans="1:15" s="2" customFormat="1" ht="24.75" customHeight="1" x14ac:dyDescent="0.2">
      <c r="A44" s="34" t="s">
        <v>176</v>
      </c>
      <c r="B44" s="61" t="s">
        <v>183</v>
      </c>
      <c r="C44" s="61" t="s">
        <v>131</v>
      </c>
      <c r="D44" s="35">
        <v>7.1429000000000006E-2</v>
      </c>
      <c r="E44" s="36">
        <f>'Oct 13'!$D44*$C$6*$C$2</f>
        <v>12638875.609486518</v>
      </c>
      <c r="F44" s="36">
        <v>416335.36666666699</v>
      </c>
      <c r="G44" s="37">
        <f>'Oct 13'!$E44/'Oct 13'!$F44</f>
        <v>30.357439269879887</v>
      </c>
      <c r="H44" s="34">
        <v>30</v>
      </c>
      <c r="I44" s="34">
        <v>30</v>
      </c>
      <c r="J44" s="38">
        <f t="shared" ref="J44:J50" si="2">I44-H44</f>
        <v>0</v>
      </c>
      <c r="K44" s="39">
        <f>'Oct 13'!$F44*'Oct 13'!$I44</f>
        <v>12490061.000000009</v>
      </c>
      <c r="L44" s="40">
        <f>'Oct 13'!$K44/$K$2</f>
        <v>7.052341561052658E-2</v>
      </c>
      <c r="M44" s="62"/>
    </row>
    <row r="45" spans="1:15" s="43" customFormat="1" ht="25.5" x14ac:dyDescent="0.25">
      <c r="A45" s="34" t="s">
        <v>177</v>
      </c>
      <c r="B45" s="34" t="s">
        <v>82</v>
      </c>
      <c r="C45" s="34" t="s">
        <v>83</v>
      </c>
      <c r="D45" s="35">
        <v>7.1429000000000006E-2</v>
      </c>
      <c r="E45" s="36">
        <f>'Oct 13'!$D45*$C$6*$C$2</f>
        <v>12638875.609486518</v>
      </c>
      <c r="F45" s="36">
        <v>249397.25490196099</v>
      </c>
      <c r="G45" s="37">
        <f>'Oct 13'!$E45/'Oct 13'!$F45</f>
        <v>50.67768534362942</v>
      </c>
      <c r="H45" s="34">
        <v>51</v>
      </c>
      <c r="I45" s="34">
        <v>51</v>
      </c>
      <c r="J45" s="38">
        <f t="shared" si="2"/>
        <v>0</v>
      </c>
      <c r="K45" s="39">
        <f>'Oct 13'!$F45*'Oct 13'!$I45</f>
        <v>12719260.000000011</v>
      </c>
      <c r="L45" s="40">
        <f>'Oct 13'!$K45/$K$2</f>
        <v>7.1817556314444461E-2</v>
      </c>
      <c r="M45" s="41"/>
    </row>
    <row r="46" spans="1:15" s="43" customFormat="1" ht="25.5" x14ac:dyDescent="0.25">
      <c r="A46" s="34" t="s">
        <v>177</v>
      </c>
      <c r="B46" s="34" t="s">
        <v>184</v>
      </c>
      <c r="C46" s="34" t="s">
        <v>105</v>
      </c>
      <c r="D46" s="35">
        <v>7.1429000000000006E-2</v>
      </c>
      <c r="E46" s="36">
        <f>'Oct 13'!$D46*$C$6*$C$2</f>
        <v>12638875.609486518</v>
      </c>
      <c r="F46" s="36">
        <v>416362.83333333302</v>
      </c>
      <c r="G46" s="37">
        <f>'Oct 13'!$E46/'Oct 13'!$F46</f>
        <v>30.355436647170784</v>
      </c>
      <c r="H46" s="34">
        <v>30</v>
      </c>
      <c r="I46" s="34">
        <v>30</v>
      </c>
      <c r="J46" s="38">
        <f t="shared" si="2"/>
        <v>0</v>
      </c>
      <c r="K46" s="39">
        <f>'Oct 13'!$F46*'Oct 13'!$I46</f>
        <v>12490884.999999991</v>
      </c>
      <c r="L46" s="40">
        <f>'Oct 13'!$K46/$K$2</f>
        <v>7.0528068213461165E-2</v>
      </c>
      <c r="M46" s="41"/>
    </row>
    <row r="47" spans="1:15" s="43" customFormat="1" ht="25.5" x14ac:dyDescent="0.25">
      <c r="A47" s="34" t="s">
        <v>177</v>
      </c>
      <c r="B47" s="34" t="s">
        <v>107</v>
      </c>
      <c r="C47" s="34" t="s">
        <v>108</v>
      </c>
      <c r="D47" s="35">
        <v>7.1429000000000006E-2</v>
      </c>
      <c r="E47" s="36">
        <f>'Oct 13'!$D47*$C$6*$C$2</f>
        <v>12638875.609486518</v>
      </c>
      <c r="F47" s="36">
        <v>249818.62745098001</v>
      </c>
      <c r="G47" s="37">
        <f>'Oct 13'!$E47/'Oct 13'!$F47</f>
        <v>50.59220658782359</v>
      </c>
      <c r="H47" s="34">
        <v>51</v>
      </c>
      <c r="I47" s="34">
        <v>51</v>
      </c>
      <c r="J47" s="38">
        <f t="shared" si="2"/>
        <v>0</v>
      </c>
      <c r="K47" s="39">
        <f>'Oct 13'!$F47*'Oct 13'!$I47</f>
        <v>12740749.999999981</v>
      </c>
      <c r="L47" s="40">
        <f>'Oct 13'!$K47/$K$2</f>
        <v>7.193889665069006E-2</v>
      </c>
      <c r="M47" s="41"/>
    </row>
    <row r="48" spans="1:15" s="43" customFormat="1" ht="25.5" x14ac:dyDescent="0.25">
      <c r="A48" s="34" t="s">
        <v>177</v>
      </c>
      <c r="B48" s="34" t="s">
        <v>185</v>
      </c>
      <c r="C48" s="34" t="s">
        <v>86</v>
      </c>
      <c r="D48" s="35">
        <v>7.1429000000000006E-2</v>
      </c>
      <c r="E48" s="36">
        <f>'Oct 13'!$D48*$C$6*$C$2</f>
        <v>12638875.609486518</v>
      </c>
      <c r="F48" s="36">
        <v>163230.55128205099</v>
      </c>
      <c r="G48" s="37">
        <f>'Oct 13'!$E48/'Oct 13'!$F48</f>
        <v>77.429595809227067</v>
      </c>
      <c r="H48" s="34">
        <v>78</v>
      </c>
      <c r="I48" s="34">
        <v>78</v>
      </c>
      <c r="J48" s="38">
        <f t="shared" si="2"/>
        <v>0</v>
      </c>
      <c r="K48" s="39">
        <f>'Oct 13'!$F48*'Oct 13'!$I48</f>
        <v>12731982.999999978</v>
      </c>
      <c r="L48" s="40">
        <f>'Oct 13'!$K48/$K$2</f>
        <v>7.1889394988155525E-2</v>
      </c>
      <c r="M48" s="41"/>
    </row>
    <row r="49" spans="1:16" s="43" customFormat="1" ht="25.5" x14ac:dyDescent="0.25">
      <c r="A49" s="34" t="s">
        <v>177</v>
      </c>
      <c r="B49" s="34" t="s">
        <v>186</v>
      </c>
      <c r="C49" s="34" t="s">
        <v>187</v>
      </c>
      <c r="D49" s="35">
        <v>7.1429000000000006E-2</v>
      </c>
      <c r="E49" s="36">
        <f>'Oct 13'!$D49*$C$6*$C$2</f>
        <v>12638875.609486518</v>
      </c>
      <c r="F49" s="36">
        <v>176937.873239437</v>
      </c>
      <c r="G49" s="37">
        <f>'Oct 13'!$E49/'Oct 13'!$F49</f>
        <v>71.431149126469137</v>
      </c>
      <c r="H49" s="34">
        <v>71</v>
      </c>
      <c r="I49" s="34">
        <v>71</v>
      </c>
      <c r="J49" s="38">
        <f t="shared" si="2"/>
        <v>0</v>
      </c>
      <c r="K49" s="39">
        <f>'Oct 13'!$F49*'Oct 13'!$I49</f>
        <v>12562589.000000028</v>
      </c>
      <c r="L49" s="40">
        <f>'Oct 13'!$K49/$K$2</f>
        <v>7.0932935010584078E-2</v>
      </c>
      <c r="M49" s="41"/>
    </row>
    <row r="50" spans="1:16" s="43" customFormat="1" ht="25.5" x14ac:dyDescent="0.25">
      <c r="A50" s="34" t="s">
        <v>177</v>
      </c>
      <c r="B50" s="34" t="s">
        <v>188</v>
      </c>
      <c r="C50" s="34" t="s">
        <v>189</v>
      </c>
      <c r="D50" s="35">
        <v>7.1429000000000006E-2</v>
      </c>
      <c r="E50" s="36">
        <f>'Oct 13'!$D50*$C$6*$C$2</f>
        <v>12638875.609486518</v>
      </c>
      <c r="F50" s="36">
        <v>718297.44444444403</v>
      </c>
      <c r="G50" s="37">
        <f>'Oct 13'!$E50/'Oct 13'!$F50</f>
        <v>17.595601525857941</v>
      </c>
      <c r="H50" s="34">
        <v>18</v>
      </c>
      <c r="I50" s="34">
        <v>18</v>
      </c>
      <c r="J50" s="38">
        <f t="shared" si="2"/>
        <v>0</v>
      </c>
      <c r="K50" s="39">
        <f>'Oct 13'!$F50*'Oct 13'!$I50</f>
        <v>12929353.999999993</v>
      </c>
      <c r="L50" s="40">
        <f>'Oct 13'!$K50/$K$2</f>
        <v>7.3003823257358241E-2</v>
      </c>
      <c r="M50" s="41"/>
    </row>
    <row r="51" spans="1:16" s="44" customFormat="1" ht="12.75" x14ac:dyDescent="0.25">
      <c r="A51" s="34"/>
      <c r="B51" s="34"/>
      <c r="C51" s="34"/>
      <c r="D51" s="35"/>
      <c r="E51" s="36"/>
      <c r="F51" s="36"/>
      <c r="G51" s="37"/>
      <c r="H51" s="34"/>
      <c r="I51" s="34"/>
      <c r="J51" s="45"/>
      <c r="K51" s="36"/>
      <c r="L51" s="40"/>
      <c r="M51" s="34"/>
    </row>
    <row r="52" spans="1:16" s="53" customFormat="1" ht="25.5" x14ac:dyDescent="0.25">
      <c r="A52" s="47" t="s">
        <v>190</v>
      </c>
      <c r="B52" s="47"/>
      <c r="C52" s="47"/>
      <c r="D52" s="55">
        <f>SUBTOTAL(9,D44:D51)</f>
        <v>0.50000300000000009</v>
      </c>
      <c r="E52" s="49">
        <f>'Oct 13'!$D52*$C$6*$C$2</f>
        <v>88472129.266405627</v>
      </c>
      <c r="F52" s="68"/>
      <c r="G52" s="68"/>
      <c r="H52" s="54"/>
      <c r="I52" s="54"/>
      <c r="J52" s="58"/>
      <c r="K52" s="49">
        <f>SUM(K44:K51)</f>
        <v>88664882</v>
      </c>
      <c r="L52" s="71">
        <f>'Oct 13'!$K52/$K$2</f>
        <v>0.50063409004522019</v>
      </c>
      <c r="M52" s="47"/>
    </row>
    <row r="53" spans="1:16" s="44" customFormat="1" ht="12.75" x14ac:dyDescent="0.25">
      <c r="A53" s="34"/>
      <c r="B53" s="34"/>
      <c r="C53" s="34"/>
      <c r="D53" s="35"/>
      <c r="E53" s="36"/>
      <c r="F53" s="36"/>
      <c r="G53" s="37"/>
      <c r="H53" s="34"/>
      <c r="I53" s="34"/>
      <c r="J53" s="45"/>
      <c r="K53" s="36"/>
      <c r="L53" s="40"/>
      <c r="M53" s="34"/>
    </row>
    <row r="54" spans="1:16" s="43" customFormat="1" ht="12.75" x14ac:dyDescent="0.25">
      <c r="A54" s="34"/>
      <c r="B54" s="34"/>
      <c r="C54" s="34"/>
      <c r="D54" s="35"/>
      <c r="E54" s="36"/>
      <c r="F54" s="36"/>
      <c r="G54" s="72"/>
      <c r="H54" s="34"/>
      <c r="I54" s="34"/>
      <c r="J54" s="38"/>
      <c r="K54" s="39"/>
      <c r="L54" s="40"/>
      <c r="M54" s="41"/>
    </row>
    <row r="55" spans="1:16" s="43" customFormat="1" ht="25.5" x14ac:dyDescent="0.25">
      <c r="A55" s="34" t="s">
        <v>191</v>
      </c>
      <c r="B55" s="34" t="s">
        <v>192</v>
      </c>
      <c r="C55" s="34" t="s">
        <v>64</v>
      </c>
      <c r="D55" s="35">
        <v>9.7499999999999996E-4</v>
      </c>
      <c r="E55" s="36">
        <f>'Oct 13'!$D55*$C$6*$C$2</f>
        <v>172519.61695178921</v>
      </c>
      <c r="F55" s="36">
        <v>45944.333333333299</v>
      </c>
      <c r="G55" s="72">
        <f>'Oct 13'!$E55/'Oct 13'!$F55</f>
        <v>3.7549705139942398</v>
      </c>
      <c r="H55" s="34">
        <v>3</v>
      </c>
      <c r="I55" s="34">
        <v>3</v>
      </c>
      <c r="J55" s="38">
        <f t="shared" ref="J55:J64" si="3">I55-H55</f>
        <v>0</v>
      </c>
      <c r="K55" s="39">
        <f>'Oct 13'!$F55*'Oct 13'!$I55</f>
        <v>137832.99999999988</v>
      </c>
      <c r="L55" s="40">
        <f>'Oct 13'!$K55/$K$2</f>
        <v>7.7825512172003764E-4</v>
      </c>
      <c r="M55" s="41"/>
    </row>
    <row r="56" spans="1:16" s="43" customFormat="1" ht="25.5" x14ac:dyDescent="0.25">
      <c r="A56" s="34" t="s">
        <v>191</v>
      </c>
      <c r="B56" s="34" t="s">
        <v>193</v>
      </c>
      <c r="C56" s="34" t="s">
        <v>74</v>
      </c>
      <c r="D56" s="35">
        <v>9.7499999999999996E-4</v>
      </c>
      <c r="E56" s="36">
        <f>'Oct 13'!$D56*$C$6*$C$2</f>
        <v>172519.61695178921</v>
      </c>
      <c r="F56" s="36">
        <v>167573</v>
      </c>
      <c r="G56" s="72">
        <f>'Oct 13'!$E56/'Oct 13'!$F56</f>
        <v>1.0295191764293126</v>
      </c>
      <c r="H56" s="34">
        <v>1</v>
      </c>
      <c r="I56" s="34">
        <v>1</v>
      </c>
      <c r="J56" s="38">
        <f t="shared" si="3"/>
        <v>0</v>
      </c>
      <c r="K56" s="39">
        <f>'Oct 13'!$F56*'Oct 13'!$I56</f>
        <v>167573</v>
      </c>
      <c r="L56" s="40">
        <f>'Oct 13'!$K56/$K$2</f>
        <v>9.461779509405729E-4</v>
      </c>
      <c r="M56" s="41"/>
      <c r="P56" s="43" t="s">
        <v>194</v>
      </c>
    </row>
    <row r="57" spans="1:16" s="43" customFormat="1" ht="25.5" x14ac:dyDescent="0.25">
      <c r="A57" s="34" t="s">
        <v>191</v>
      </c>
      <c r="B57" s="34" t="s">
        <v>195</v>
      </c>
      <c r="C57" s="34" t="s">
        <v>93</v>
      </c>
      <c r="D57" s="35">
        <v>9.7499999999999996E-4</v>
      </c>
      <c r="E57" s="36">
        <f>'Oct 13'!$D57*$C$6*$C$2</f>
        <v>172519.61695178921</v>
      </c>
      <c r="F57" s="36">
        <v>91105</v>
      </c>
      <c r="G57" s="72">
        <f>'Oct 13'!$E57/'Oct 13'!$F57</f>
        <v>1.8936350030381341</v>
      </c>
      <c r="H57" s="34">
        <v>2</v>
      </c>
      <c r="I57" s="34">
        <v>2</v>
      </c>
      <c r="J57" s="38">
        <f t="shared" si="3"/>
        <v>0</v>
      </c>
      <c r="K57" s="39">
        <f>'Oct 13'!$F57*'Oct 13'!$I57</f>
        <v>182210</v>
      </c>
      <c r="L57" s="40">
        <f>'Oct 13'!$K57/$K$2</f>
        <v>1.0288237630219771E-3</v>
      </c>
      <c r="M57" s="41"/>
    </row>
    <row r="58" spans="1:16" s="43" customFormat="1" ht="25.5" x14ac:dyDescent="0.25">
      <c r="A58" s="34" t="s">
        <v>191</v>
      </c>
      <c r="B58" s="34" t="s">
        <v>94</v>
      </c>
      <c r="C58" s="34" t="s">
        <v>95</v>
      </c>
      <c r="D58" s="35">
        <v>9.7499999999999996E-4</v>
      </c>
      <c r="E58" s="36">
        <f>'Oct 13'!$D58*$C$6*$C$2</f>
        <v>172519.61695178921</v>
      </c>
      <c r="F58" s="36">
        <v>243239</v>
      </c>
      <c r="G58" s="72">
        <f>'Oct 13'!$E58/'Oct 13'!$F58</f>
        <v>0.70925968677633611</v>
      </c>
      <c r="H58" s="34">
        <v>1</v>
      </c>
      <c r="I58" s="34">
        <v>1</v>
      </c>
      <c r="J58" s="38">
        <f t="shared" si="3"/>
        <v>0</v>
      </c>
      <c r="K58" s="39">
        <f>'Oct 13'!$F58*'Oct 13'!$I58</f>
        <v>243239</v>
      </c>
      <c r="L58" s="40">
        <f>'Oct 13'!$K58/$K$2</f>
        <v>1.3734156374167318E-3</v>
      </c>
      <c r="M58" s="41"/>
    </row>
    <row r="59" spans="1:16" s="43" customFormat="1" ht="25.5" x14ac:dyDescent="0.25">
      <c r="A59" s="34" t="s">
        <v>191</v>
      </c>
      <c r="B59" s="34" t="s">
        <v>196</v>
      </c>
      <c r="C59" s="34" t="s">
        <v>197</v>
      </c>
      <c r="D59" s="35">
        <v>9.7499999999999996E-4</v>
      </c>
      <c r="E59" s="36">
        <f>'Oct 13'!$D59*$C$6*$C$2</f>
        <v>172519.61695178921</v>
      </c>
      <c r="F59" s="36">
        <v>45603.5</v>
      </c>
      <c r="G59" s="72">
        <f>'Oct 13'!$E59/'Oct 13'!$F59</f>
        <v>3.7830345686578708</v>
      </c>
      <c r="H59" s="34">
        <v>4</v>
      </c>
      <c r="I59" s="34">
        <v>4</v>
      </c>
      <c r="J59" s="38">
        <f t="shared" si="3"/>
        <v>0</v>
      </c>
      <c r="K59" s="39">
        <f>'Oct 13'!$F59*'Oct 13'!$I59</f>
        <v>182414</v>
      </c>
      <c r="L59" s="40">
        <f>'Oct 13'!$K59/$K$2</f>
        <v>1.0299756210300805E-3</v>
      </c>
      <c r="M59" s="41"/>
    </row>
    <row r="60" spans="1:16" s="43" customFormat="1" ht="25.5" x14ac:dyDescent="0.25">
      <c r="A60" s="34" t="s">
        <v>191</v>
      </c>
      <c r="B60" s="34" t="s">
        <v>198</v>
      </c>
      <c r="C60" s="34" t="s">
        <v>199</v>
      </c>
      <c r="D60" s="35">
        <v>9.7499999999999996E-4</v>
      </c>
      <c r="E60" s="36">
        <f>'Oct 13'!$D60*$C$6*$C$2</f>
        <v>172519.61695178921</v>
      </c>
      <c r="F60" s="36">
        <v>43855.75</v>
      </c>
      <c r="G60" s="72">
        <f>'Oct 13'!$E60/'Oct 13'!$F60</f>
        <v>3.9337969810524096</v>
      </c>
      <c r="H60" s="34">
        <v>4</v>
      </c>
      <c r="I60" s="34">
        <v>4</v>
      </c>
      <c r="J60" s="38">
        <f t="shared" si="3"/>
        <v>0</v>
      </c>
      <c r="K60" s="39">
        <f>'Oct 13'!$F60*'Oct 13'!$I60</f>
        <v>175423</v>
      </c>
      <c r="L60" s="40">
        <f>'Oct 13'!$K60/$K$2</f>
        <v>9.9050189880140653E-4</v>
      </c>
      <c r="M60" s="41"/>
    </row>
    <row r="61" spans="1:16" s="43" customFormat="1" ht="25.5" x14ac:dyDescent="0.25">
      <c r="A61" s="34" t="s">
        <v>191</v>
      </c>
      <c r="B61" s="34" t="s">
        <v>200</v>
      </c>
      <c r="C61" s="34" t="s">
        <v>99</v>
      </c>
      <c r="D61" s="35">
        <v>9.7499999999999996E-4</v>
      </c>
      <c r="E61" s="36">
        <f>'Oct 13'!$D61*$C$6*$C$2</f>
        <v>172519.61695178921</v>
      </c>
      <c r="F61" s="36">
        <v>12114.857142857099</v>
      </c>
      <c r="G61" s="72">
        <f>'Oct 13'!$E61/'Oct 13'!$F61</f>
        <v>14.240334402416499</v>
      </c>
      <c r="H61" s="34">
        <v>14</v>
      </c>
      <c r="I61" s="34">
        <v>14</v>
      </c>
      <c r="J61" s="38">
        <f t="shared" si="3"/>
        <v>0</v>
      </c>
      <c r="K61" s="39">
        <f>'Oct 13'!$F61*'Oct 13'!$I61</f>
        <v>169607.99999999939</v>
      </c>
      <c r="L61" s="40">
        <f>'Oct 13'!$K61/$K$2</f>
        <v>9.5766829920767725E-4</v>
      </c>
      <c r="M61" s="41"/>
    </row>
    <row r="62" spans="1:16" s="43" customFormat="1" ht="25.5" x14ac:dyDescent="0.25">
      <c r="A62" s="34" t="s">
        <v>191</v>
      </c>
      <c r="B62" s="34" t="s">
        <v>201</v>
      </c>
      <c r="C62" s="34" t="s">
        <v>102</v>
      </c>
      <c r="D62" s="35">
        <v>9.7499999999999996E-4</v>
      </c>
      <c r="E62" s="36">
        <f>'Oct 13'!$D62*$C$6*$C$2</f>
        <v>172519.61695178921</v>
      </c>
      <c r="F62" s="36">
        <v>91140</v>
      </c>
      <c r="G62" s="72">
        <f>'Oct 13'!$E62/'Oct 13'!$F62</f>
        <v>1.8929078006560152</v>
      </c>
      <c r="H62" s="34">
        <v>2</v>
      </c>
      <c r="I62" s="34">
        <v>2</v>
      </c>
      <c r="J62" s="38">
        <f t="shared" si="3"/>
        <v>0</v>
      </c>
      <c r="K62" s="39">
        <f>'Oct 13'!$F62*'Oct 13'!$I62</f>
        <v>182280</v>
      </c>
      <c r="L62" s="40">
        <f>'Oct 13'!$K62/$K$2</f>
        <v>1.0292190084169146E-3</v>
      </c>
      <c r="M62" s="41"/>
    </row>
    <row r="63" spans="1:16" s="2" customFormat="1" ht="25.5" x14ac:dyDescent="0.2">
      <c r="A63" s="34" t="s">
        <v>191</v>
      </c>
      <c r="B63" s="61" t="s">
        <v>202</v>
      </c>
      <c r="C63" s="61" t="s">
        <v>133</v>
      </c>
      <c r="D63" s="35">
        <v>9.7499999999999996E-4</v>
      </c>
      <c r="E63" s="36">
        <f>'Oct 13'!$D63*$C$6*$C$2</f>
        <v>172519.61695178921</v>
      </c>
      <c r="F63" s="36">
        <v>60634</v>
      </c>
      <c r="G63" s="72">
        <f>'Oct 13'!$E63/'Oct 13'!$F63</f>
        <v>2.8452620139161069</v>
      </c>
      <c r="H63" s="34">
        <v>3</v>
      </c>
      <c r="I63" s="34">
        <v>3</v>
      </c>
      <c r="J63" s="38">
        <f t="shared" si="3"/>
        <v>0</v>
      </c>
      <c r="K63" s="39">
        <f>'Oct 13'!$F63*'Oct 13'!$I63</f>
        <v>181902</v>
      </c>
      <c r="L63" s="40">
        <f>'Oct 13'!$K63/$K$2</f>
        <v>1.0270846832842527E-3</v>
      </c>
      <c r="M63" s="62"/>
    </row>
    <row r="64" spans="1:16" s="43" customFormat="1" ht="25.5" x14ac:dyDescent="0.25">
      <c r="A64" s="34" t="s">
        <v>191</v>
      </c>
      <c r="B64" s="34" t="s">
        <v>203</v>
      </c>
      <c r="C64" s="34" t="s">
        <v>204</v>
      </c>
      <c r="D64" s="35">
        <v>9.7499999999999996E-4</v>
      </c>
      <c r="E64" s="36">
        <f>'Oct 13'!$D64*$C$6*$C$2</f>
        <v>172519.61695178921</v>
      </c>
      <c r="F64" s="36">
        <v>125917</v>
      </c>
      <c r="G64" s="72">
        <f>'Oct 13'!$E64/'Oct 13'!$F64</f>
        <v>1.3701058391781031</v>
      </c>
      <c r="H64" s="34">
        <v>1</v>
      </c>
      <c r="I64" s="34">
        <v>1</v>
      </c>
      <c r="J64" s="38">
        <f t="shared" si="3"/>
        <v>0</v>
      </c>
      <c r="K64" s="39">
        <f>'Oct 13'!$F64*'Oct 13'!$I64</f>
        <v>125917</v>
      </c>
      <c r="L64" s="40">
        <f>'Oct 13'!$K64/$K$2</f>
        <v>7.109730627761281E-4</v>
      </c>
      <c r="M64" s="41"/>
    </row>
    <row r="65" spans="1:13" s="43" customFormat="1" ht="12.75" x14ac:dyDescent="0.25">
      <c r="A65" s="34"/>
      <c r="B65" s="34"/>
      <c r="C65" s="34"/>
      <c r="D65" s="35"/>
      <c r="E65" s="36"/>
      <c r="F65" s="36"/>
      <c r="G65" s="37"/>
      <c r="H65" s="34"/>
      <c r="I65" s="34"/>
      <c r="J65" s="41"/>
      <c r="K65" s="39"/>
      <c r="L65" s="40"/>
      <c r="M65" s="41"/>
    </row>
    <row r="66" spans="1:13" s="43" customFormat="1" ht="12.75" x14ac:dyDescent="0.25">
      <c r="A66" s="34"/>
      <c r="B66" s="34"/>
      <c r="C66" s="34"/>
      <c r="D66" s="35"/>
      <c r="E66" s="36"/>
      <c r="F66" s="36"/>
      <c r="G66" s="37"/>
      <c r="H66" s="34"/>
      <c r="I66" s="34"/>
      <c r="J66" s="41"/>
      <c r="K66" s="39"/>
      <c r="L66" s="40"/>
      <c r="M66" s="41"/>
    </row>
    <row r="67" spans="1:13" s="43" customFormat="1" ht="12.75" x14ac:dyDescent="0.25">
      <c r="A67" s="34"/>
      <c r="B67" s="34"/>
      <c r="C67" s="34"/>
      <c r="D67" s="35"/>
      <c r="E67" s="36"/>
      <c r="F67" s="36"/>
      <c r="G67" s="37"/>
      <c r="H67" s="34"/>
      <c r="I67" s="34"/>
      <c r="J67" s="41"/>
      <c r="K67" s="39"/>
      <c r="L67" s="40"/>
      <c r="M67" s="41"/>
    </row>
    <row r="68" spans="1:13" s="43" customFormat="1" ht="12.75" x14ac:dyDescent="0.25">
      <c r="A68" s="34"/>
      <c r="B68" s="34"/>
      <c r="C68" s="34"/>
      <c r="D68" s="35"/>
      <c r="E68" s="36"/>
      <c r="F68" s="36"/>
      <c r="G68" s="37"/>
      <c r="H68" s="34"/>
      <c r="I68" s="34"/>
      <c r="J68" s="41"/>
      <c r="K68" s="39"/>
      <c r="L68" s="40"/>
      <c r="M68" s="41"/>
    </row>
    <row r="69" spans="1:13" s="43" customFormat="1" ht="12.75" x14ac:dyDescent="0.25">
      <c r="A69" s="34"/>
      <c r="B69" s="34"/>
      <c r="C69" s="34"/>
      <c r="D69" s="35"/>
      <c r="E69" s="36"/>
      <c r="F69" s="36"/>
      <c r="G69" s="37"/>
      <c r="H69" s="34"/>
      <c r="I69" s="34"/>
      <c r="J69" s="41"/>
      <c r="K69" s="39"/>
      <c r="L69" s="40"/>
      <c r="M69" s="41"/>
    </row>
    <row r="70" spans="1:13" s="43" customFormat="1" ht="12.75" x14ac:dyDescent="0.25">
      <c r="A70" s="34"/>
      <c r="B70" s="34"/>
      <c r="C70" s="34"/>
      <c r="D70" s="35"/>
      <c r="E70" s="36"/>
      <c r="F70" s="36"/>
      <c r="G70" s="37"/>
      <c r="H70" s="34"/>
      <c r="I70" s="34"/>
      <c r="J70" s="41"/>
      <c r="K70" s="39"/>
      <c r="L70" s="40"/>
      <c r="M70" s="41"/>
    </row>
    <row r="71" spans="1:13" s="43" customFormat="1" ht="12.75" x14ac:dyDescent="0.25">
      <c r="A71" s="34"/>
      <c r="B71" s="34"/>
      <c r="C71" s="34"/>
      <c r="D71" s="35"/>
      <c r="E71" s="36"/>
      <c r="F71" s="36"/>
      <c r="G71" s="37"/>
      <c r="H71" s="34"/>
      <c r="I71" s="34"/>
      <c r="J71" s="41"/>
      <c r="K71" s="39"/>
      <c r="L71" s="40"/>
      <c r="M71" s="41"/>
    </row>
    <row r="72" spans="1:13" s="15" customFormat="1" ht="12.75" x14ac:dyDescent="0.2">
      <c r="A72" s="47" t="s">
        <v>205</v>
      </c>
      <c r="B72" s="65"/>
      <c r="C72" s="65"/>
      <c r="D72" s="88">
        <f>SUM(D55:D71)</f>
        <v>9.75E-3</v>
      </c>
      <c r="E72" s="49">
        <f>SUM(E54:E71)</f>
        <v>1725196.1695178922</v>
      </c>
      <c r="F72" s="68"/>
      <c r="G72" s="68"/>
      <c r="H72" s="65"/>
      <c r="I72" s="65"/>
      <c r="J72" s="47"/>
      <c r="K72" s="49">
        <f>SUM(K54:K71)</f>
        <v>1748398.9999999993</v>
      </c>
      <c r="L72" s="52">
        <f>'Oct 13'!$K72/$K$2</f>
        <v>9.8720950466157798E-3</v>
      </c>
      <c r="M72" s="59"/>
    </row>
    <row r="73" spans="1:13" s="2" customFormat="1" ht="12.75" x14ac:dyDescent="0.2">
      <c r="A73" s="34"/>
      <c r="B73" s="61"/>
      <c r="C73" s="61"/>
      <c r="D73" s="74"/>
      <c r="E73" s="36"/>
      <c r="F73" s="36"/>
      <c r="G73" s="37"/>
      <c r="H73" s="61"/>
      <c r="I73" s="61"/>
      <c r="J73" s="34"/>
      <c r="K73" s="34"/>
      <c r="L73" s="40"/>
      <c r="M73" s="62"/>
    </row>
    <row r="74" spans="1:13" s="43" customFormat="1" ht="25.5" x14ac:dyDescent="0.25">
      <c r="A74" s="47" t="s">
        <v>206</v>
      </c>
      <c r="B74" s="54" t="s">
        <v>207</v>
      </c>
      <c r="C74" s="54" t="s">
        <v>119</v>
      </c>
      <c r="D74" s="55">
        <v>1.2515999999999999E-2</v>
      </c>
      <c r="E74" s="56">
        <f>'Oct 13'!$D74*$C$6*$C$2</f>
        <v>2214621.0520703527</v>
      </c>
      <c r="F74" s="56">
        <v>26300</v>
      </c>
      <c r="G74" s="57">
        <f>'Oct 13'!$E74/'Oct 13'!$F74</f>
        <v>84.206123652865116</v>
      </c>
      <c r="H74" s="54">
        <v>82</v>
      </c>
      <c r="I74" s="54">
        <v>84</v>
      </c>
      <c r="J74" s="75">
        <f>I74-H74</f>
        <v>2</v>
      </c>
      <c r="K74" s="56">
        <f>'Oct 13'!$F74*'Oct 13'!$I74</f>
        <v>2209200</v>
      </c>
      <c r="L74" s="76">
        <f>'Oct 13'!$K74/$K$2</f>
        <v>1.2473944664223434E-2</v>
      </c>
      <c r="M74" s="54"/>
    </row>
    <row r="75" spans="1:13" s="2" customFormat="1" ht="12.75" x14ac:dyDescent="0.2">
      <c r="A75" s="34"/>
      <c r="B75" s="61"/>
      <c r="C75" s="61"/>
      <c r="D75" s="74"/>
      <c r="E75" s="36"/>
      <c r="F75" s="36"/>
      <c r="G75" s="37"/>
      <c r="H75" s="61"/>
      <c r="I75" s="61"/>
      <c r="J75" s="34"/>
      <c r="K75" s="34"/>
      <c r="L75" s="40"/>
      <c r="M75" s="62"/>
    </row>
    <row r="76" spans="1:13" s="2" customFormat="1" ht="12.75" x14ac:dyDescent="0.2">
      <c r="A76" s="34"/>
      <c r="B76" s="61"/>
      <c r="C76" s="61"/>
      <c r="D76" s="77"/>
      <c r="E76" s="63"/>
      <c r="F76" s="36"/>
      <c r="G76" s="37"/>
      <c r="H76" s="61"/>
      <c r="I76" s="61"/>
      <c r="J76" s="34"/>
      <c r="K76" s="34"/>
      <c r="L76" s="40"/>
      <c r="M76" s="62"/>
    </row>
    <row r="77" spans="1:13" s="15" customFormat="1" ht="12.75" x14ac:dyDescent="0.2">
      <c r="A77" s="47" t="s">
        <v>208</v>
      </c>
      <c r="B77" s="65"/>
      <c r="C77" s="65"/>
      <c r="D77" s="65"/>
      <c r="E77" s="78"/>
      <c r="F77" s="78"/>
      <c r="G77" s="47"/>
      <c r="H77" s="65"/>
      <c r="I77" s="65"/>
      <c r="J77" s="65"/>
      <c r="K77" s="78">
        <f>SUM(K25,K27,K42,K52,K72,K74)</f>
        <v>177105162.75867525</v>
      </c>
      <c r="L77" s="52">
        <f>'Oct 13'!$K77/$K$2</f>
        <v>1</v>
      </c>
      <c r="M77" s="65"/>
    </row>
    <row r="78" spans="1:13" s="2" customFormat="1" ht="12.75" x14ac:dyDescent="0.2">
      <c r="A78" s="62"/>
      <c r="B78" s="62"/>
      <c r="C78" s="62"/>
      <c r="D78" s="79"/>
      <c r="E78" s="80"/>
      <c r="F78" s="36"/>
      <c r="G78" s="81"/>
      <c r="H78" s="62"/>
      <c r="I78" s="62"/>
      <c r="J78" s="62"/>
      <c r="K78" s="62"/>
      <c r="L78" s="40"/>
      <c r="M78" s="62"/>
    </row>
    <row r="79" spans="1:13" s="2" customFormat="1" ht="12.75" x14ac:dyDescent="0.2">
      <c r="A79" s="62"/>
      <c r="B79" s="62"/>
      <c r="C79" s="62"/>
      <c r="D79" s="79"/>
      <c r="E79" s="80"/>
      <c r="F79" s="36"/>
      <c r="G79" s="81"/>
      <c r="H79" s="62"/>
      <c r="I79" s="62"/>
      <c r="J79" s="62"/>
      <c r="K79" s="62"/>
      <c r="L79" s="40"/>
      <c r="M79" s="62"/>
    </row>
    <row r="80" spans="1:13" s="2" customFormat="1" ht="12.75" x14ac:dyDescent="0.2">
      <c r="A80" s="62"/>
      <c r="B80" s="62"/>
      <c r="C80" s="62"/>
      <c r="D80" s="79"/>
      <c r="E80" s="80"/>
      <c r="F80" s="36"/>
      <c r="G80" s="81"/>
      <c r="H80" s="62"/>
      <c r="I80" s="62"/>
      <c r="J80" s="62"/>
      <c r="K80" s="62"/>
      <c r="L80" s="40"/>
      <c r="M80" s="62"/>
    </row>
    <row r="81" spans="1:13" s="2" customFormat="1" ht="12.75" x14ac:dyDescent="0.2">
      <c r="A81" s="62"/>
      <c r="B81" s="62"/>
      <c r="C81" s="62"/>
      <c r="D81" s="79"/>
      <c r="E81" s="80"/>
      <c r="F81" s="36"/>
      <c r="G81" s="81"/>
      <c r="H81" s="62"/>
      <c r="I81" s="62"/>
      <c r="J81" s="62"/>
      <c r="K81" s="62"/>
      <c r="L81" s="40"/>
      <c r="M81" s="62"/>
    </row>
    <row r="82" spans="1:13" s="2" customFormat="1" ht="12.75" x14ac:dyDescent="0.2">
      <c r="A82" s="62"/>
      <c r="B82" s="62"/>
      <c r="C82" s="62"/>
      <c r="D82" s="79"/>
      <c r="E82" s="80"/>
      <c r="F82" s="36"/>
      <c r="G82" s="81"/>
      <c r="H82" s="62"/>
      <c r="I82" s="62"/>
      <c r="J82" s="62"/>
      <c r="K82" s="62"/>
      <c r="L82" s="40"/>
      <c r="M82" s="62"/>
    </row>
    <row r="83" spans="1:13" s="2" customFormat="1" ht="12.75" x14ac:dyDescent="0.2">
      <c r="A83" s="62"/>
      <c r="B83" s="62"/>
      <c r="C83" s="62"/>
      <c r="D83" s="79"/>
      <c r="E83" s="80"/>
      <c r="F83" s="36"/>
      <c r="G83" s="81"/>
      <c r="H83" s="62"/>
      <c r="I83" s="62"/>
      <c r="J83" s="62"/>
      <c r="K83" s="62"/>
      <c r="L83" s="40"/>
      <c r="M83" s="62"/>
    </row>
    <row r="84" spans="1:13" s="2" customFormat="1" ht="12.75" x14ac:dyDescent="0.2">
      <c r="A84" s="62"/>
      <c r="B84" s="62"/>
      <c r="C84" s="62"/>
      <c r="D84" s="79"/>
      <c r="E84" s="80"/>
      <c r="F84" s="36"/>
      <c r="G84" s="81"/>
      <c r="H84" s="62"/>
      <c r="I84" s="62"/>
      <c r="J84" s="62"/>
      <c r="K84" s="62"/>
      <c r="L84" s="40"/>
      <c r="M84" s="62"/>
    </row>
    <row r="85" spans="1:13" s="2" customFormat="1" ht="12.75" x14ac:dyDescent="0.2">
      <c r="A85" s="62"/>
      <c r="B85" s="62"/>
      <c r="C85" s="62"/>
      <c r="D85" s="79"/>
      <c r="E85" s="80"/>
      <c r="F85" s="36"/>
      <c r="G85" s="81"/>
      <c r="H85" s="62"/>
      <c r="I85" s="62"/>
      <c r="J85" s="62"/>
      <c r="K85" s="62"/>
      <c r="L85" s="40"/>
      <c r="M85" s="62"/>
    </row>
    <row r="86" spans="1:13" s="2" customFormat="1" ht="12.75" x14ac:dyDescent="0.2">
      <c r="A86" s="62"/>
      <c r="B86" s="62"/>
      <c r="C86" s="62"/>
      <c r="D86" s="79"/>
      <c r="E86" s="80"/>
      <c r="F86" s="36"/>
      <c r="G86" s="81"/>
      <c r="H86" s="62"/>
      <c r="I86" s="62"/>
      <c r="J86" s="62"/>
      <c r="K86" s="62"/>
      <c r="L86" s="40"/>
      <c r="M86" s="62"/>
    </row>
    <row r="87" spans="1:13" s="2" customFormat="1" ht="12.75" x14ac:dyDescent="0.2"/>
    <row r="88" spans="1:13" s="2" customFormat="1" ht="12.75" x14ac:dyDescent="0.2"/>
    <row r="90" spans="1:13" s="2" customFormat="1" ht="12.75" x14ac:dyDescent="0.2">
      <c r="A90" s="82"/>
      <c r="B90" s="82"/>
      <c r="E90" s="82"/>
      <c r="F90" s="82"/>
      <c r="G90" s="82"/>
      <c r="H90" s="83"/>
      <c r="M90" s="82"/>
    </row>
    <row r="91" spans="1:13" s="2" customFormat="1" ht="12.75" x14ac:dyDescent="0.2">
      <c r="A91" s="82"/>
      <c r="B91" s="82"/>
      <c r="E91" s="82"/>
      <c r="F91" s="82"/>
      <c r="G91" s="82"/>
      <c r="H91" s="83"/>
      <c r="M91" s="82"/>
    </row>
    <row r="92" spans="1:13" s="2" customFormat="1" ht="12.75" x14ac:dyDescent="0.2">
      <c r="A92" s="84"/>
      <c r="B92" s="84"/>
    </row>
    <row r="93" spans="1:13" s="2" customFormat="1" ht="12.75" x14ac:dyDescent="0.2">
      <c r="A93" s="85"/>
      <c r="B93" s="85"/>
      <c r="E93" s="85"/>
      <c r="F93" s="84"/>
      <c r="G93" s="84"/>
      <c r="M93" s="86"/>
    </row>
    <row r="94" spans="1:13" s="2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H94"/>
  <sheetViews>
    <sheetView topLeftCell="A55" zoomScale="125" zoomScaleNormal="125" workbookViewId="0">
      <pane xSplit="2" topLeftCell="C1" activePane="topRight" state="frozen"/>
      <selection activeCell="A55" sqref="A55"/>
      <selection pane="topRight" activeCell="I82" sqref="I82"/>
    </sheetView>
  </sheetViews>
  <sheetFormatPr defaultColWidth="9.140625" defaultRowHeight="15" x14ac:dyDescent="0.25"/>
  <cols>
    <col min="1" max="2" width="15.140625" style="2" customWidth="1"/>
    <col min="3" max="3" width="29.28515625" style="2" customWidth="1"/>
    <col min="4" max="4" width="14.85546875" style="2" customWidth="1"/>
    <col min="5" max="5" width="27.42578125" style="2" customWidth="1"/>
    <col min="6" max="7" width="13.7109375" style="2" customWidth="1"/>
    <col min="8" max="8" width="16.5703125" style="2" customWidth="1"/>
    <col min="9" max="9" width="15.5703125" style="2" customWidth="1"/>
    <col min="10" max="10" width="13.42578125" customWidth="1"/>
    <col min="11" max="11" width="23.5703125" customWidth="1"/>
    <col min="12" max="12" width="13.42578125" customWidth="1"/>
    <col min="13" max="13" width="22.5703125" style="2" customWidth="1"/>
    <col min="14" max="16" width="10.85546875" style="2" customWidth="1"/>
    <col min="17" max="17" width="11.28515625" style="2" customWidth="1"/>
    <col min="18" max="1022" width="9.140625" style="2"/>
  </cols>
  <sheetData>
    <row r="1" spans="1:17" s="2" customFormat="1" ht="25.5" x14ac:dyDescent="0.2">
      <c r="A1" s="3"/>
      <c r="B1" s="3" t="s">
        <v>138</v>
      </c>
      <c r="C1" s="4">
        <v>44118</v>
      </c>
      <c r="D1" s="5"/>
      <c r="E1" s="6" t="s">
        <v>139</v>
      </c>
      <c r="F1" s="7"/>
      <c r="G1" s="8"/>
      <c r="K1" s="9" t="s">
        <v>140</v>
      </c>
      <c r="L1" s="9" t="s">
        <v>141</v>
      </c>
      <c r="M1" s="10" t="s">
        <v>142</v>
      </c>
    </row>
    <row r="2" spans="1:17" x14ac:dyDescent="0.25">
      <c r="A2" s="3"/>
      <c r="B2" s="3" t="s">
        <v>143</v>
      </c>
      <c r="C2" s="11">
        <v>8.968</v>
      </c>
      <c r="D2" s="12"/>
      <c r="E2" s="13">
        <f>SUM(E25,E42,E52,E72,E27,E74)</f>
        <v>180440506.2948814</v>
      </c>
      <c r="F2" s="14"/>
      <c r="G2" s="15"/>
      <c r="H2" s="12"/>
      <c r="I2" s="12"/>
      <c r="J2" s="12"/>
      <c r="K2" s="13">
        <f>SUM(K25,K42,K52,K72,K27,K74)</f>
        <v>180859553.30283415</v>
      </c>
      <c r="L2" s="16">
        <f>SUM(L52,L72,L42,L25,L27,L74)</f>
        <v>1</v>
      </c>
      <c r="M2" s="17">
        <f>K2/$C$6</f>
        <v>8.9887549737940127</v>
      </c>
      <c r="N2" s="18"/>
    </row>
    <row r="3" spans="1:17" ht="26.25" x14ac:dyDescent="0.25">
      <c r="A3" s="3"/>
      <c r="B3" s="3" t="s">
        <v>144</v>
      </c>
      <c r="C3" s="19">
        <v>20120645.609999999</v>
      </c>
      <c r="D3" s="20"/>
      <c r="E3" s="6" t="s">
        <v>145</v>
      </c>
      <c r="F3" s="14"/>
      <c r="G3" s="15"/>
      <c r="H3" s="12"/>
      <c r="I3" s="12"/>
      <c r="J3" s="12"/>
      <c r="K3" s="6" t="s">
        <v>145</v>
      </c>
      <c r="L3" s="12"/>
      <c r="M3" s="10" t="s">
        <v>146</v>
      </c>
      <c r="N3" s="21"/>
    </row>
    <row r="4" spans="1:17" x14ac:dyDescent="0.25">
      <c r="A4" s="3"/>
      <c r="B4" s="3" t="s">
        <v>147</v>
      </c>
      <c r="C4" s="19">
        <v>0</v>
      </c>
      <c r="D4" s="20"/>
      <c r="E4" s="13">
        <f>SUM(E25,E72,E27)</f>
        <v>35194841.430535473</v>
      </c>
      <c r="F4" s="14"/>
      <c r="G4" s="15"/>
      <c r="H4" s="12"/>
      <c r="I4" s="12"/>
      <c r="J4" s="12"/>
      <c r="K4" s="13">
        <f>SUM(K25,K27,K72)</f>
        <v>35213858.663984425</v>
      </c>
      <c r="L4" s="12"/>
      <c r="M4" s="17">
        <f>K4/$C$6</f>
        <v>1.7501356242009982</v>
      </c>
      <c r="N4" s="21"/>
    </row>
    <row r="5" spans="1:17" x14ac:dyDescent="0.25">
      <c r="A5" s="3"/>
      <c r="B5" s="3" t="s">
        <v>148</v>
      </c>
      <c r="C5" s="19">
        <v>0</v>
      </c>
      <c r="D5" s="20"/>
      <c r="E5" s="14"/>
      <c r="F5" s="14"/>
      <c r="G5" s="22">
        <f>SUM(D25,D27,D42,D52,D72,D74)</f>
        <v>0.9999920000000001</v>
      </c>
      <c r="H5" s="12"/>
      <c r="I5" s="12"/>
      <c r="J5" s="12"/>
      <c r="K5" s="12"/>
      <c r="L5" s="12"/>
      <c r="M5" s="12"/>
      <c r="N5" s="21"/>
    </row>
    <row r="6" spans="1:17" x14ac:dyDescent="0.25">
      <c r="A6" s="3"/>
      <c r="B6" s="3" t="s">
        <v>149</v>
      </c>
      <c r="C6" s="19">
        <f>C3+C4-C5</f>
        <v>20120645.609999999</v>
      </c>
      <c r="D6" s="20"/>
      <c r="E6" s="14"/>
      <c r="F6" s="14"/>
      <c r="G6" s="15"/>
      <c r="H6" s="12"/>
      <c r="I6" s="12"/>
      <c r="J6" s="12"/>
      <c r="K6" s="12"/>
      <c r="L6" s="12"/>
      <c r="M6" s="12"/>
      <c r="N6" s="21"/>
    </row>
    <row r="7" spans="1:17" x14ac:dyDescent="0.25">
      <c r="A7" s="23"/>
      <c r="B7" s="24"/>
      <c r="C7" s="24"/>
      <c r="D7" s="25"/>
      <c r="E7" s="26"/>
      <c r="F7" s="26"/>
      <c r="G7" s="26"/>
      <c r="H7" s="27"/>
      <c r="I7" s="27"/>
      <c r="J7" s="27"/>
      <c r="K7" s="12"/>
      <c r="L7" s="12"/>
      <c r="M7" s="12"/>
      <c r="N7" s="21"/>
    </row>
    <row r="8" spans="1:17" s="32" customFormat="1" ht="38.25" x14ac:dyDescent="0.2">
      <c r="A8" s="28" t="s">
        <v>150</v>
      </c>
      <c r="B8" s="28" t="s">
        <v>151</v>
      </c>
      <c r="C8" s="29" t="s">
        <v>1</v>
      </c>
      <c r="D8" s="29" t="s">
        <v>152</v>
      </c>
      <c r="E8" s="29" t="s">
        <v>153</v>
      </c>
      <c r="F8" s="29" t="s">
        <v>154</v>
      </c>
      <c r="G8" s="29" t="s">
        <v>155</v>
      </c>
      <c r="H8" s="29" t="s">
        <v>156</v>
      </c>
      <c r="I8" s="29" t="s">
        <v>157</v>
      </c>
      <c r="J8" s="29" t="s">
        <v>158</v>
      </c>
      <c r="K8" s="30" t="s">
        <v>159</v>
      </c>
      <c r="L8" s="30" t="s">
        <v>160</v>
      </c>
      <c r="M8" s="30" t="s">
        <v>161</v>
      </c>
      <c r="N8" s="31"/>
      <c r="Q8" s="33"/>
    </row>
    <row r="9" spans="1:17" s="43" customFormat="1" ht="12.75" x14ac:dyDescent="0.25">
      <c r="A9" s="34" t="s">
        <v>162</v>
      </c>
      <c r="B9" s="34" t="s">
        <v>46</v>
      </c>
      <c r="C9" s="34" t="s">
        <v>47</v>
      </c>
      <c r="D9" s="35">
        <v>1.1494000000000001E-2</v>
      </c>
      <c r="E9" s="36">
        <f>'Oct 14'!$D9*$C$6*$C$2</f>
        <v>2073999.771351537</v>
      </c>
      <c r="F9" s="36">
        <v>573.99010740531401</v>
      </c>
      <c r="G9" s="37">
        <f>'Oct 14'!$E9/'Oct 14'!$F9</f>
        <v>3613.3022931822325</v>
      </c>
      <c r="H9" s="34">
        <v>3538</v>
      </c>
      <c r="I9" s="34">
        <f>ROUND(Table13895845679910111213144562678910111213141516171819202134567891011[[#This Row],[Target Quantity]],0)</f>
        <v>3613</v>
      </c>
      <c r="J9" s="38">
        <f t="shared" ref="J9:J23" si="0">I9-H9</f>
        <v>75</v>
      </c>
      <c r="K9" s="39">
        <f>'Oct 14'!$F9*'Oct 14'!$I9</f>
        <v>2073826.2580553994</v>
      </c>
      <c r="L9" s="40">
        <f>'Oct 14'!$K9/$K$2</f>
        <v>1.1466501051138566E-2</v>
      </c>
      <c r="M9" s="41"/>
      <c r="N9" s="42"/>
      <c r="O9" s="87"/>
    </row>
    <row r="10" spans="1:17" s="43" customFormat="1" ht="12.75" customHeight="1" x14ac:dyDescent="0.25">
      <c r="A10" s="34" t="s">
        <v>162</v>
      </c>
      <c r="B10" s="34" t="s">
        <v>55</v>
      </c>
      <c r="C10" s="34" t="s">
        <v>56</v>
      </c>
      <c r="D10" s="35">
        <v>1.1494000000000001E-2</v>
      </c>
      <c r="E10" s="36">
        <f>'Oct 14'!$D10*$C$6*$C$2</f>
        <v>2073999.771351537</v>
      </c>
      <c r="F10" s="36">
        <v>450.82010928961802</v>
      </c>
      <c r="G10" s="37">
        <f>'Oct 14'!$E10/'Oct 14'!$F10</f>
        <v>4600.5041226303156</v>
      </c>
      <c r="H10" s="34">
        <v>4575</v>
      </c>
      <c r="I10" s="34">
        <f>ROUND(Table13895845679910111213144562678910111213141516171819202134567891011[[#This Row],[Target Quantity]],0)</f>
        <v>4601</v>
      </c>
      <c r="J10" s="38">
        <f t="shared" si="0"/>
        <v>26</v>
      </c>
      <c r="K10" s="39">
        <f>'Oct 14'!$F10*'Oct 14'!$I10</f>
        <v>2074223.3228415325</v>
      </c>
      <c r="L10" s="40">
        <f>'Oct 14'!$K10/$K$2</f>
        <v>1.1468696482780866E-2</v>
      </c>
      <c r="M10" s="41"/>
    </row>
    <row r="11" spans="1:17" s="43" customFormat="1" ht="12.75" customHeight="1" x14ac:dyDescent="0.25">
      <c r="A11" s="34" t="s">
        <v>162</v>
      </c>
      <c r="B11" s="34" t="s">
        <v>37</v>
      </c>
      <c r="C11" s="34" t="s">
        <v>38</v>
      </c>
      <c r="D11" s="35">
        <v>1.1494000000000001E-2</v>
      </c>
      <c r="E11" s="36">
        <f>'Oct 14'!$D11*$C$6*$C$2</f>
        <v>2073999.771351537</v>
      </c>
      <c r="F11" s="36">
        <v>83.700008307717894</v>
      </c>
      <c r="G11" s="37">
        <f>'Oct 14'!$E11/'Oct 14'!$F11</f>
        <v>24778.967329687774</v>
      </c>
      <c r="H11" s="34">
        <v>24074</v>
      </c>
      <c r="I11" s="34">
        <f>ROUND(Table13895845679910111213144562678910111213141516171819202134567891011[[#This Row],[Target Quantity]],0)</f>
        <v>24779</v>
      </c>
      <c r="J11" s="38">
        <f t="shared" si="0"/>
        <v>705</v>
      </c>
      <c r="K11" s="39">
        <f>'Oct 14'!$F11*'Oct 14'!$I11</f>
        <v>2074002.5058569417</v>
      </c>
      <c r="L11" s="40">
        <f>'Oct 14'!$K11/$K$2</f>
        <v>1.1467475552061098E-2</v>
      </c>
      <c r="M11" s="41"/>
    </row>
    <row r="12" spans="1:17" s="44" customFormat="1" ht="12.75" customHeight="1" x14ac:dyDescent="0.25">
      <c r="A12" s="34" t="s">
        <v>162</v>
      </c>
      <c r="B12" s="34" t="s">
        <v>23</v>
      </c>
      <c r="C12" s="34" t="s">
        <v>24</v>
      </c>
      <c r="D12" s="35">
        <v>1.1494000000000001E-2</v>
      </c>
      <c r="E12" s="36">
        <f>'Oct 14'!$D12*$C$6*$C$2</f>
        <v>2073999.771351537</v>
      </c>
      <c r="F12" s="36">
        <v>244.519963180301</v>
      </c>
      <c r="G12" s="37">
        <f>'Oct 14'!$E12/'Oct 14'!$F12</f>
        <v>8481.9241111296815</v>
      </c>
      <c r="H12" s="34">
        <v>8691</v>
      </c>
      <c r="I12" s="34">
        <f>ROUND(Table13895845679910111213144562678910111213141516171819202134567891011[[#This Row],[Target Quantity]],0)</f>
        <v>8482</v>
      </c>
      <c r="J12" s="38">
        <f t="shared" si="0"/>
        <v>-209</v>
      </c>
      <c r="K12" s="39">
        <f>'Oct 14'!$F12*'Oct 14'!$I12</f>
        <v>2074018.3276953131</v>
      </c>
      <c r="L12" s="40">
        <f>'Oct 14'!$K12/$K$2</f>
        <v>1.1467563033413798E-2</v>
      </c>
      <c r="M12" s="34"/>
    </row>
    <row r="13" spans="1:17" s="44" customFormat="1" ht="12.75" customHeight="1" x14ac:dyDescent="0.25">
      <c r="A13" s="34" t="s">
        <v>162</v>
      </c>
      <c r="B13" s="34" t="s">
        <v>60</v>
      </c>
      <c r="C13" s="34" t="s">
        <v>61</v>
      </c>
      <c r="D13" s="35">
        <v>1.1494000000000001E-2</v>
      </c>
      <c r="E13" s="36">
        <f>'Oct 14'!$D13*$C$6*$C$2</f>
        <v>2073999.771351537</v>
      </c>
      <c r="F13" s="36">
        <v>522.5</v>
      </c>
      <c r="G13" s="37">
        <f>'Oct 14'!$E13/'Oct 14'!$F13</f>
        <v>3969.377552825908</v>
      </c>
      <c r="H13" s="34">
        <v>4124</v>
      </c>
      <c r="I13" s="34">
        <f>ROUND(Table13895845679910111213144562678910111213141516171819202134567891011[[#This Row],[Target Quantity]],0)</f>
        <v>3969</v>
      </c>
      <c r="J13" s="38">
        <f t="shared" si="0"/>
        <v>-155</v>
      </c>
      <c r="K13" s="39">
        <f>'Oct 14'!$F13*'Oct 14'!$I13</f>
        <v>2073802.5</v>
      </c>
      <c r="L13" s="40">
        <f>'Oct 14'!$K13/$K$2</f>
        <v>1.1466369689233898E-2</v>
      </c>
      <c r="M13" s="34"/>
    </row>
    <row r="14" spans="1:17" s="44" customFormat="1" ht="12.75" customHeight="1" x14ac:dyDescent="0.25">
      <c r="A14" s="34" t="s">
        <v>162</v>
      </c>
      <c r="B14" s="34" t="s">
        <v>163</v>
      </c>
      <c r="C14" s="34" t="s">
        <v>164</v>
      </c>
      <c r="D14" s="35">
        <v>1.1494000000000001E-2</v>
      </c>
      <c r="E14" s="36">
        <f>'Oct 14'!$D14*$C$6*$C$2</f>
        <v>2073999.771351537</v>
      </c>
      <c r="F14" s="36">
        <v>3460</v>
      </c>
      <c r="G14" s="37">
        <f>'Oct 14'!$E14/'Oct 14'!$F14</f>
        <v>599.42189923454828</v>
      </c>
      <c r="H14" s="34">
        <v>583</v>
      </c>
      <c r="I14" s="34">
        <f>ROUND(Table13895845679910111213144562678910111213141516171819202134567891011[[#This Row],[Target Quantity]],0)</f>
        <v>599</v>
      </c>
      <c r="J14" s="38">
        <f t="shared" si="0"/>
        <v>16</v>
      </c>
      <c r="K14" s="39">
        <f>'Oct 14'!$F14*'Oct 14'!$I14</f>
        <v>2072540</v>
      </c>
      <c r="L14" s="40">
        <f>'Oct 14'!$K14/$K$2</f>
        <v>1.1459389134560703E-2</v>
      </c>
      <c r="M14" s="34"/>
    </row>
    <row r="15" spans="1:17" s="44" customFormat="1" ht="12.75" customHeight="1" x14ac:dyDescent="0.25">
      <c r="A15" s="34" t="s">
        <v>162</v>
      </c>
      <c r="B15" s="34" t="s">
        <v>165</v>
      </c>
      <c r="C15" s="34" t="s">
        <v>166</v>
      </c>
      <c r="D15" s="35">
        <v>1.1494000000000001E-2</v>
      </c>
      <c r="E15" s="36">
        <f>'Oct 14'!$D15*$C$6*$C$2</f>
        <v>2073999.771351537</v>
      </c>
      <c r="F15" s="36">
        <v>299.47997032640899</v>
      </c>
      <c r="G15" s="37">
        <f>'Oct 14'!$E15/'Oct 14'!$F15</f>
        <v>6925.337173938693</v>
      </c>
      <c r="H15" s="34">
        <v>6740</v>
      </c>
      <c r="I15" s="34">
        <f>ROUND(Table13895845679910111213144562678910111213141516171819202134567891011[[#This Row],[Target Quantity]],0)</f>
        <v>6925</v>
      </c>
      <c r="J15" s="38">
        <f t="shared" si="0"/>
        <v>185</v>
      </c>
      <c r="K15" s="39">
        <f>'Oct 14'!$F15*'Oct 14'!$I15</f>
        <v>2073898.7945103822</v>
      </c>
      <c r="L15" s="40">
        <f>'Oct 14'!$K15/$K$2</f>
        <v>1.1466902116239405E-2</v>
      </c>
      <c r="M15" s="34"/>
    </row>
    <row r="16" spans="1:17" s="44" customFormat="1" ht="12.75" customHeight="1" x14ac:dyDescent="0.25">
      <c r="A16" s="34" t="s">
        <v>162</v>
      </c>
      <c r="B16" s="34" t="s">
        <v>43</v>
      </c>
      <c r="C16" s="34" t="s">
        <v>44</v>
      </c>
      <c r="D16" s="35">
        <v>1.1494000000000001E-2</v>
      </c>
      <c r="E16" s="36">
        <f>'Oct 14'!$D16*$C$6*$C$2</f>
        <v>2073999.771351537</v>
      </c>
      <c r="F16" s="36">
        <v>1269.16985645933</v>
      </c>
      <c r="G16" s="37">
        <f>'Oct 14'!$E16/'Oct 14'!$F16</f>
        <v>1634.1388513098502</v>
      </c>
      <c r="H16" s="34">
        <v>1672</v>
      </c>
      <c r="I16" s="34">
        <f>ROUND(Table13895845679910111213144562678910111213141516171819202134567891011[[#This Row],[Target Quantity]],0)</f>
        <v>1634</v>
      </c>
      <c r="J16" s="38">
        <f t="shared" si="0"/>
        <v>-38</v>
      </c>
      <c r="K16" s="39">
        <f>'Oct 14'!$F16*'Oct 14'!$I16</f>
        <v>2073823.5454545454</v>
      </c>
      <c r="L16" s="40">
        <f>'Oct 14'!$K16/$K$2</f>
        <v>1.1466486052755543E-2</v>
      </c>
      <c r="M16" s="34"/>
    </row>
    <row r="17" spans="1:15" s="44" customFormat="1" ht="12.75" customHeight="1" x14ac:dyDescent="0.25">
      <c r="A17" s="34" t="s">
        <v>162</v>
      </c>
      <c r="B17" s="34" t="s">
        <v>167</v>
      </c>
      <c r="C17" s="34" t="s">
        <v>168</v>
      </c>
      <c r="D17" s="35">
        <v>1.1494000000000001E-2</v>
      </c>
      <c r="E17" s="36">
        <f>'Oct 14'!$D17*$C$6*$C$2</f>
        <v>2073999.771351537</v>
      </c>
      <c r="F17" s="36">
        <v>175.38004688721</v>
      </c>
      <c r="G17" s="37">
        <f>'Oct 14'!$E17/'Oct 14'!$F17</f>
        <v>11825.745335131327</v>
      </c>
      <c r="H17" s="34">
        <v>11517</v>
      </c>
      <c r="I17" s="34">
        <f>ROUND(Table13895845679910111213144562678910111213141516171819202134567891011[[#This Row],[Target Quantity]],0)</f>
        <v>11826</v>
      </c>
      <c r="J17" s="38">
        <f t="shared" si="0"/>
        <v>309</v>
      </c>
      <c r="K17" s="39">
        <f>'Oct 14'!$F17*'Oct 14'!$I17</f>
        <v>2074044.4344881454</v>
      </c>
      <c r="L17" s="40">
        <f>'Oct 14'!$K17/$K$2</f>
        <v>1.1467707381845249E-2</v>
      </c>
      <c r="M17" s="34"/>
    </row>
    <row r="18" spans="1:15" s="44" customFormat="1" ht="12.75" customHeight="1" x14ac:dyDescent="0.25">
      <c r="A18" s="34" t="s">
        <v>162</v>
      </c>
      <c r="B18" s="34" t="s">
        <v>28</v>
      </c>
      <c r="C18" s="34" t="s">
        <v>29</v>
      </c>
      <c r="D18" s="35">
        <v>1.1494000000000001E-2</v>
      </c>
      <c r="E18" s="36">
        <f>'Oct 14'!$D18*$C$6*$C$2</f>
        <v>2073999.771351537</v>
      </c>
      <c r="F18" s="36">
        <v>274</v>
      </c>
      <c r="G18" s="37">
        <f>'Oct 14'!$E18/'Oct 14'!$F18</f>
        <v>7569.3422312099892</v>
      </c>
      <c r="H18" s="34">
        <v>7434</v>
      </c>
      <c r="I18" s="34">
        <f>ROUND(Table13895845679910111213144562678910111213141516171819202134567891011[[#This Row],[Target Quantity]],0)</f>
        <v>7569</v>
      </c>
      <c r="J18" s="38">
        <f t="shared" si="0"/>
        <v>135</v>
      </c>
      <c r="K18" s="39">
        <f>'Oct 14'!$F18*'Oct 14'!$I18</f>
        <v>2073906</v>
      </c>
      <c r="L18" s="40">
        <f>'Oct 14'!$K18/$K$2</f>
        <v>1.1466941956488294E-2</v>
      </c>
      <c r="M18" s="34"/>
    </row>
    <row r="19" spans="1:15" s="44" customFormat="1" ht="12.75" customHeight="1" x14ac:dyDescent="0.25">
      <c r="A19" s="34" t="s">
        <v>162</v>
      </c>
      <c r="B19" s="34" t="s">
        <v>173</v>
      </c>
      <c r="C19" s="34" t="s">
        <v>174</v>
      </c>
      <c r="D19" s="35">
        <v>1.1494000000000001E-2</v>
      </c>
      <c r="E19" s="36">
        <f>'Oct 14'!$D19*$C$6*$C$2</f>
        <v>2073999.771351537</v>
      </c>
      <c r="F19" s="36">
        <v>85.539980792517397</v>
      </c>
      <c r="G19" s="37">
        <f>'Oct 14'!$E19/'Oct 14'!$F19</f>
        <v>24245.969570441615</v>
      </c>
      <c r="H19" s="34">
        <v>23949</v>
      </c>
      <c r="I19" s="34">
        <f>ROUND(Table13895845679910111213144562678910111213141516171819202134567891011[[#This Row],[Target Quantity]],0)</f>
        <v>24246</v>
      </c>
      <c r="J19" s="38">
        <f t="shared" si="0"/>
        <v>297</v>
      </c>
      <c r="K19" s="39">
        <f>'Oct 14'!$F19*'Oct 14'!$I19</f>
        <v>2074002.3742953767</v>
      </c>
      <c r="L19" s="40">
        <f>'Oct 14'!$K19/$K$2</f>
        <v>1.146747482463718E-2</v>
      </c>
      <c r="M19" s="34"/>
    </row>
    <row r="20" spans="1:15" s="44" customFormat="1" ht="12.75" customHeight="1" x14ac:dyDescent="0.25">
      <c r="A20" s="34" t="s">
        <v>162</v>
      </c>
      <c r="B20" s="34" t="s">
        <v>19</v>
      </c>
      <c r="C20" s="34" t="s">
        <v>20</v>
      </c>
      <c r="D20" s="35">
        <v>1.1494000000000001E-2</v>
      </c>
      <c r="E20" s="36">
        <f>'Oct 14'!$D20*$C$6*$C$2</f>
        <v>2073999.771351537</v>
      </c>
      <c r="F20" s="36">
        <v>1325.22012578616</v>
      </c>
      <c r="G20" s="37">
        <f>'Oct 14'!$E20/'Oct 14'!$F20</f>
        <v>1565.0228448810938</v>
      </c>
      <c r="H20" s="34">
        <v>1590</v>
      </c>
      <c r="I20" s="34">
        <f>ROUND(Table13895845679910111213144562678910111213141516171819202134567891011[[#This Row],[Target Quantity]],0)</f>
        <v>1565</v>
      </c>
      <c r="J20" s="38">
        <f t="shared" si="0"/>
        <v>-25</v>
      </c>
      <c r="K20" s="39">
        <f>'Oct 14'!$F20*'Oct 14'!$I20</f>
        <v>2073969.4968553404</v>
      </c>
      <c r="L20" s="40">
        <f>'Oct 14'!$K20/$K$2</f>
        <v>1.1467293040266734E-2</v>
      </c>
      <c r="M20" s="34"/>
    </row>
    <row r="21" spans="1:15" s="44" customFormat="1" ht="12.75" customHeight="1" x14ac:dyDescent="0.25">
      <c r="A21" s="34" t="s">
        <v>162</v>
      </c>
      <c r="B21" s="34" t="s">
        <v>25</v>
      </c>
      <c r="C21" s="34" t="s">
        <v>26</v>
      </c>
      <c r="D21" s="35">
        <v>5.7470000000000004E-3</v>
      </c>
      <c r="E21" s="36">
        <f>'Oct 14'!$D21*$C$6*$C$2</f>
        <v>1036999.8856757685</v>
      </c>
      <c r="F21" s="36">
        <v>16.8199993385368</v>
      </c>
      <c r="G21" s="37">
        <f>'Oct 14'!$E21/'Oct 14'!$F21</f>
        <v>61652.789920143892</v>
      </c>
      <c r="H21" s="34">
        <v>60472</v>
      </c>
      <c r="I21" s="34">
        <f>ROUND(Table13895845679910111213144562678910111213141516171819202134567891011[[#This Row],[Target Quantity]],0)</f>
        <v>61653</v>
      </c>
      <c r="J21" s="38">
        <f t="shared" si="0"/>
        <v>1181</v>
      </c>
      <c r="K21" s="39">
        <f>'Oct 14'!$F21*'Oct 14'!$I21</f>
        <v>1037003.4192188093</v>
      </c>
      <c r="L21" s="40">
        <f>'Oct 14'!$K21/$K$2</f>
        <v>5.7337497537795759E-3</v>
      </c>
      <c r="M21" s="34"/>
    </row>
    <row r="22" spans="1:15" s="44" customFormat="1" ht="12.75" customHeight="1" x14ac:dyDescent="0.25">
      <c r="A22" s="34" t="s">
        <v>162</v>
      </c>
      <c r="B22" s="34" t="s">
        <v>209</v>
      </c>
      <c r="C22" s="34" t="s">
        <v>210</v>
      </c>
      <c r="D22" s="35">
        <v>5.7470000000000004E-3</v>
      </c>
      <c r="E22" s="36">
        <f>'Oct 14'!$D22*$C$6*$C$2</f>
        <v>1036999.8856757685</v>
      </c>
      <c r="F22" s="36">
        <v>194.270074422248</v>
      </c>
      <c r="G22" s="37">
        <f>'Oct 14'!$E22/'Oct 14'!$F22</f>
        <v>5337.9291111086859</v>
      </c>
      <c r="H22" s="34">
        <v>5106</v>
      </c>
      <c r="I22" s="34">
        <f>ROUND(Table13895845679910111213144562678910111213141516171819202134567891011[[#This Row],[Target Quantity]],0)</f>
        <v>5338</v>
      </c>
      <c r="J22" s="38">
        <f t="shared" si="0"/>
        <v>232</v>
      </c>
      <c r="K22" s="39">
        <f>'Oct 14'!$F22*'Oct 14'!$I22</f>
        <v>1037013.6572659598</v>
      </c>
      <c r="L22" s="40">
        <f>'Oct 14'!$K22/$K$2</f>
        <v>5.733806361500669E-3</v>
      </c>
      <c r="M22" s="34"/>
    </row>
    <row r="23" spans="1:15" s="44" customFormat="1" ht="12.75" customHeight="1" x14ac:dyDescent="0.25">
      <c r="A23" s="34" t="s">
        <v>162</v>
      </c>
      <c r="B23" s="34" t="s">
        <v>211</v>
      </c>
      <c r="C23" s="34" t="s">
        <v>212</v>
      </c>
      <c r="D23" s="35">
        <v>1.1494000000000001E-2</v>
      </c>
      <c r="E23" s="36">
        <f>'Oct 14'!$D23*$C$6*$C$2</f>
        <v>2073999.771351537</v>
      </c>
      <c r="F23" s="36">
        <v>118.20997497526599</v>
      </c>
      <c r="G23" s="37">
        <f>'Oct 14'!$E23/'Oct 14'!$F23</f>
        <v>17545.048730324968</v>
      </c>
      <c r="H23" s="34">
        <v>17183</v>
      </c>
      <c r="I23" s="34">
        <f>ROUND(Table13895845679910111213144562678910111213141516171819202134567891011[[#This Row],[Target Quantity]],0)</f>
        <v>17545</v>
      </c>
      <c r="J23" s="38">
        <f t="shared" si="0"/>
        <v>362</v>
      </c>
      <c r="K23" s="39">
        <f>'Oct 14'!$F23*'Oct 14'!$I23</f>
        <v>2073994.0109410419</v>
      </c>
      <c r="L23" s="40">
        <f>'Oct 14'!$K23/$K$2</f>
        <v>1.1467428582378023E-2</v>
      </c>
      <c r="M23" s="34"/>
    </row>
    <row r="24" spans="1:15" s="44" customFormat="1" ht="12.75" customHeight="1" x14ac:dyDescent="0.25">
      <c r="A24" s="34"/>
      <c r="B24" s="34"/>
      <c r="C24" s="34"/>
      <c r="D24" s="35"/>
      <c r="E24" s="36"/>
      <c r="F24" s="36"/>
      <c r="G24" s="37"/>
      <c r="H24" s="34"/>
      <c r="I24" s="34"/>
      <c r="J24" s="45"/>
      <c r="K24" s="36"/>
      <c r="L24" s="46"/>
      <c r="M24" s="34"/>
    </row>
    <row r="25" spans="1:15" s="53" customFormat="1" ht="12.75" customHeight="1" x14ac:dyDescent="0.25">
      <c r="A25" s="47" t="s">
        <v>175</v>
      </c>
      <c r="B25" s="47"/>
      <c r="C25" s="47"/>
      <c r="D25" s="48">
        <f>SUM(D9:D24)</f>
        <v>0.16091600000000003</v>
      </c>
      <c r="E25" s="49">
        <f>'Oct 14'!$D25*$C$6*$C$2</f>
        <v>29035996.798921525</v>
      </c>
      <c r="F25" s="50"/>
      <c r="G25" s="50"/>
      <c r="H25" s="47"/>
      <c r="I25" s="47"/>
      <c r="J25" s="51"/>
      <c r="K25" s="49">
        <f>SUM(K9:K24)</f>
        <v>29034068.647478789</v>
      </c>
      <c r="L25" s="52">
        <f>'Oct 14'!$K25/$K$2</f>
        <v>0.16053378501307961</v>
      </c>
      <c r="M25" s="47"/>
    </row>
    <row r="26" spans="1:15" s="44" customFormat="1" ht="12.75" customHeight="1" x14ac:dyDescent="0.25">
      <c r="A26" s="34"/>
      <c r="B26" s="34"/>
      <c r="C26" s="34"/>
      <c r="D26" s="35"/>
      <c r="E26" s="36"/>
      <c r="F26" s="36"/>
      <c r="G26" s="37"/>
      <c r="H26" s="34"/>
      <c r="I26" s="34"/>
      <c r="J26" s="45"/>
      <c r="K26" s="36"/>
      <c r="L26" s="40"/>
      <c r="M26" s="34"/>
    </row>
    <row r="27" spans="1:15" s="43" customFormat="1" ht="12.75" customHeight="1" x14ac:dyDescent="0.25">
      <c r="A27" s="54"/>
      <c r="B27" s="47" t="s">
        <v>34</v>
      </c>
      <c r="C27" s="54" t="s">
        <v>35</v>
      </c>
      <c r="D27" s="55">
        <v>2.4382000000000001E-2</v>
      </c>
      <c r="E27" s="56">
        <f>'Oct 14'!$D27*$C$6*$C$2</f>
        <v>4399535.6207667636</v>
      </c>
      <c r="F27" s="50">
        <v>18.110002510307201</v>
      </c>
      <c r="G27" s="57">
        <f>'Oct 14'!$E27/'Oct 14'!$F27</f>
        <v>242934.01496011909</v>
      </c>
      <c r="H27" s="54">
        <v>235031</v>
      </c>
      <c r="I27" s="54">
        <f>ROUND(Table13895845679910111213144562678910111213141516171819202134567891011[[#This Row],[Target Quantity]],0)</f>
        <v>242934</v>
      </c>
      <c r="J27" s="58">
        <f>I27-H27</f>
        <v>7903</v>
      </c>
      <c r="K27" s="59">
        <f>'Oct 14'!$F27*'Oct 14'!$I27</f>
        <v>4399535.3498389693</v>
      </c>
      <c r="L27" s="52">
        <f>'Oct 14'!$K27/$K$2</f>
        <v>2.43257006306563E-2</v>
      </c>
      <c r="M27" s="47"/>
      <c r="O27" s="42"/>
    </row>
    <row r="28" spans="1:15" s="43" customFormat="1" ht="12.75" customHeight="1" x14ac:dyDescent="0.25">
      <c r="A28" s="34"/>
      <c r="B28" s="34"/>
      <c r="C28" s="34"/>
      <c r="D28" s="35"/>
      <c r="E28" s="36"/>
      <c r="F28" s="36"/>
      <c r="G28" s="37"/>
      <c r="H28" s="34"/>
      <c r="I28" s="34"/>
      <c r="J28" s="45"/>
      <c r="K28" s="39"/>
      <c r="L28" s="40"/>
      <c r="M28" s="34"/>
      <c r="O28" s="42"/>
    </row>
    <row r="29" spans="1:15" s="2" customFormat="1" ht="25.5" x14ac:dyDescent="0.2">
      <c r="A29" s="34" t="s">
        <v>176</v>
      </c>
      <c r="B29" s="60" t="s">
        <v>109</v>
      </c>
      <c r="C29" s="61" t="s">
        <v>110</v>
      </c>
      <c r="D29" s="35">
        <v>2.4382000000000001E-2</v>
      </c>
      <c r="E29" s="36">
        <f>'Oct 14'!$D29*$C$6*$C$2</f>
        <v>4399535.6207667636</v>
      </c>
      <c r="F29" s="36">
        <v>159213.148148148</v>
      </c>
      <c r="G29" s="37">
        <f>'Oct 14'!$E29/'Oct 14'!$F29</f>
        <v>27.632991822214276</v>
      </c>
      <c r="H29" s="34">
        <v>27</v>
      </c>
      <c r="I29" s="34">
        <v>28</v>
      </c>
      <c r="J29" s="38">
        <f t="shared" ref="J29:J40" si="1">I29-H29</f>
        <v>1</v>
      </c>
      <c r="K29" s="39">
        <f>'Oct 14'!$F29*'Oct 14'!$I29</f>
        <v>4457968.1481481437</v>
      </c>
      <c r="L29" s="40">
        <f>'Oct 14'!$K29/$K$2</f>
        <v>2.4648784466937447E-2</v>
      </c>
      <c r="M29" s="62"/>
    </row>
    <row r="30" spans="1:15" s="2" customFormat="1" ht="25.5" x14ac:dyDescent="0.2">
      <c r="A30" s="34" t="s">
        <v>176</v>
      </c>
      <c r="B30" s="60" t="s">
        <v>115</v>
      </c>
      <c r="C30" s="61" t="s">
        <v>116</v>
      </c>
      <c r="D30" s="35">
        <v>2.4382000000000001E-2</v>
      </c>
      <c r="E30" s="36">
        <f>'Oct 14'!$D30*$C$6*$C$2</f>
        <v>4399535.6207667636</v>
      </c>
      <c r="F30" s="36">
        <v>219801.15</v>
      </c>
      <c r="G30" s="37">
        <f>'Oct 14'!$E30/'Oct 14'!$F30</f>
        <v>20.015980902587469</v>
      </c>
      <c r="H30" s="34">
        <v>20</v>
      </c>
      <c r="I30" s="34">
        <v>20</v>
      </c>
      <c r="J30" s="38">
        <f t="shared" si="1"/>
        <v>0</v>
      </c>
      <c r="K30" s="39">
        <f>'Oct 14'!$F30*'Oct 14'!$I30</f>
        <v>4396023</v>
      </c>
      <c r="L30" s="40">
        <f>'Oct 14'!$K30/$K$2</f>
        <v>2.4306280313759417E-2</v>
      </c>
      <c r="M30" s="62"/>
    </row>
    <row r="31" spans="1:15" s="2" customFormat="1" ht="25.5" x14ac:dyDescent="0.2">
      <c r="A31" s="34" t="s">
        <v>176</v>
      </c>
      <c r="B31" s="60" t="s">
        <v>121</v>
      </c>
      <c r="C31" s="61" t="s">
        <v>122</v>
      </c>
      <c r="D31" s="35">
        <v>2.4382000000000001E-2</v>
      </c>
      <c r="E31" s="36">
        <f>'Oct 14'!$D31*$C$6*$C$2</f>
        <v>4399535.6207667636</v>
      </c>
      <c r="F31" s="36">
        <v>175238.08</v>
      </c>
      <c r="G31" s="37">
        <f>'Oct 14'!$E31/'Oct 14'!$F31</f>
        <v>25.106047845118844</v>
      </c>
      <c r="H31" s="34">
        <v>25</v>
      </c>
      <c r="I31" s="34">
        <v>25</v>
      </c>
      <c r="J31" s="38">
        <f t="shared" si="1"/>
        <v>0</v>
      </c>
      <c r="K31" s="39">
        <f>'Oct 14'!$F31*'Oct 14'!$I31</f>
        <v>4380952</v>
      </c>
      <c r="L31" s="40">
        <f>'Oct 14'!$K31/$K$2</f>
        <v>2.4222950460706178E-2</v>
      </c>
      <c r="M31" s="62"/>
    </row>
    <row r="32" spans="1:15" s="2" customFormat="1" ht="25.5" x14ac:dyDescent="0.2">
      <c r="A32" s="34" t="s">
        <v>176</v>
      </c>
      <c r="B32" s="60" t="s">
        <v>124</v>
      </c>
      <c r="C32" s="61" t="s">
        <v>125</v>
      </c>
      <c r="D32" s="35">
        <v>2.4382000000000001E-2</v>
      </c>
      <c r="E32" s="36">
        <f>'Oct 14'!$D32*$C$6*$C$2</f>
        <v>4399535.6207667636</v>
      </c>
      <c r="F32" s="36">
        <v>125870.147058824</v>
      </c>
      <c r="G32" s="37">
        <f>'Oct 14'!$E32/'Oct 14'!$F32</f>
        <v>34.952971165678306</v>
      </c>
      <c r="H32" s="34">
        <v>34</v>
      </c>
      <c r="I32" s="34">
        <v>35</v>
      </c>
      <c r="J32" s="38">
        <f t="shared" si="1"/>
        <v>1</v>
      </c>
      <c r="K32" s="39">
        <f>'Oct 14'!$F32*'Oct 14'!$I32</f>
        <v>4405455.1470588399</v>
      </c>
      <c r="L32" s="40">
        <f>'Oct 14'!$K32/$K$2</f>
        <v>2.4358432090575137E-2</v>
      </c>
      <c r="M32" s="62"/>
    </row>
    <row r="33" spans="1:15" s="2" customFormat="1" ht="25.5" x14ac:dyDescent="0.2">
      <c r="A33" s="34" t="s">
        <v>176</v>
      </c>
      <c r="B33" s="60" t="s">
        <v>127</v>
      </c>
      <c r="C33" s="61" t="s">
        <v>128</v>
      </c>
      <c r="D33" s="35">
        <v>2.4382000000000001E-2</v>
      </c>
      <c r="E33" s="36">
        <f>'Oct 14'!$D33*$C$6*$C$2</f>
        <v>4399535.6207667636</v>
      </c>
      <c r="F33" s="36">
        <v>139203.129032258</v>
      </c>
      <c r="G33" s="37">
        <f>'Oct 14'!$E33/'Oct 14'!$F33</f>
        <v>31.605148902559833</v>
      </c>
      <c r="H33" s="34">
        <v>31</v>
      </c>
      <c r="I33" s="34">
        <v>32</v>
      </c>
      <c r="J33" s="38">
        <f t="shared" si="1"/>
        <v>1</v>
      </c>
      <c r="K33" s="39">
        <f>'Oct 14'!$F33*'Oct 14'!$I33</f>
        <v>4454500.1290322561</v>
      </c>
      <c r="L33" s="40">
        <f>'Oct 14'!$K33/$K$2</f>
        <v>2.4629609261356347E-2</v>
      </c>
      <c r="M33" s="62"/>
    </row>
    <row r="34" spans="1:15" s="2" customFormat="1" ht="25.5" x14ac:dyDescent="0.2">
      <c r="A34" s="34" t="s">
        <v>176</v>
      </c>
      <c r="B34" s="60" t="s">
        <v>135</v>
      </c>
      <c r="C34" s="61" t="s">
        <v>136</v>
      </c>
      <c r="D34" s="35">
        <v>2.4382000000000001E-2</v>
      </c>
      <c r="E34" s="36">
        <f>'Oct 14'!$D34*$C$6*$C$2</f>
        <v>4399535.6207667636</v>
      </c>
      <c r="F34" s="36">
        <v>220878.15</v>
      </c>
      <c r="G34" s="37">
        <f>'Oct 14'!$E34/'Oct 14'!$F34</f>
        <v>19.918383148205304</v>
      </c>
      <c r="H34" s="34">
        <v>20</v>
      </c>
      <c r="I34" s="34">
        <v>20</v>
      </c>
      <c r="J34" s="38">
        <f t="shared" si="1"/>
        <v>0</v>
      </c>
      <c r="K34" s="39">
        <f>'Oct 14'!$F34*'Oct 14'!$I34</f>
        <v>4417563</v>
      </c>
      <c r="L34" s="40">
        <f>'Oct 14'!$K34/$K$2</f>
        <v>2.4425378252500497E-2</v>
      </c>
      <c r="M34" s="62"/>
    </row>
    <row r="35" spans="1:15" s="43" customFormat="1" ht="25.5" customHeight="1" x14ac:dyDescent="0.25">
      <c r="A35" s="34" t="s">
        <v>177</v>
      </c>
      <c r="B35" s="34" t="s">
        <v>178</v>
      </c>
      <c r="C35" s="34" t="s">
        <v>179</v>
      </c>
      <c r="D35" s="35">
        <v>2.4382000000000001E-2</v>
      </c>
      <c r="E35" s="36">
        <f>'Oct 14'!$D35*$C$6*$C$2</f>
        <v>4399535.6207667636</v>
      </c>
      <c r="F35" s="36">
        <v>97674.363636363603</v>
      </c>
      <c r="G35" s="37">
        <f>'Oct 14'!$E35/'Oct 14'!$F35</f>
        <v>45.042890037615173</v>
      </c>
      <c r="H35" s="34">
        <v>44</v>
      </c>
      <c r="I35" s="34">
        <v>45</v>
      </c>
      <c r="J35" s="38">
        <f t="shared" si="1"/>
        <v>1</v>
      </c>
      <c r="K35" s="39">
        <f>'Oct 14'!$F35*'Oct 14'!$I35</f>
        <v>4395346.3636363624</v>
      </c>
      <c r="L35" s="40">
        <f>'Oct 14'!$K35/$K$2</f>
        <v>2.4302539088309719E-2</v>
      </c>
      <c r="M35" s="41"/>
      <c r="O35" s="42"/>
    </row>
    <row r="36" spans="1:15" s="43" customFormat="1" ht="25.5" customHeight="1" x14ac:dyDescent="0.25">
      <c r="A36" s="34" t="s">
        <v>177</v>
      </c>
      <c r="B36" s="34" t="s">
        <v>76</v>
      </c>
      <c r="C36" s="34" t="s">
        <v>77</v>
      </c>
      <c r="D36" s="35">
        <v>2.4382000000000001E-2</v>
      </c>
      <c r="E36" s="36">
        <f>'Oct 14'!$D36*$C$6*$C$2</f>
        <v>4399535.6207667636</v>
      </c>
      <c r="F36" s="36">
        <v>115622.78378378401</v>
      </c>
      <c r="G36" s="37">
        <f>'Oct 14'!$E36/'Oct 14'!$F36</f>
        <v>38.050767130758139</v>
      </c>
      <c r="H36" s="34">
        <v>37</v>
      </c>
      <c r="I36" s="34">
        <v>38</v>
      </c>
      <c r="J36" s="38">
        <f t="shared" si="1"/>
        <v>1</v>
      </c>
      <c r="K36" s="39">
        <f>'Oct 14'!$F36*'Oct 14'!$I36</f>
        <v>4393665.7837837925</v>
      </c>
      <c r="L36" s="40">
        <f>'Oct 14'!$K36/$K$2</f>
        <v>2.4293246906493059E-2</v>
      </c>
      <c r="M36" s="41"/>
    </row>
    <row r="37" spans="1:15" s="43" customFormat="1" ht="25.5" customHeight="1" x14ac:dyDescent="0.25">
      <c r="A37" s="34" t="s">
        <v>177</v>
      </c>
      <c r="B37" s="34" t="s">
        <v>180</v>
      </c>
      <c r="C37" s="34" t="s">
        <v>181</v>
      </c>
      <c r="D37" s="35">
        <v>2.4382000000000001E-2</v>
      </c>
      <c r="E37" s="36">
        <f>'Oct 14'!$D37*$C$6*$C$2</f>
        <v>4399535.6207667636</v>
      </c>
      <c r="F37" s="36">
        <v>115405.26315789499</v>
      </c>
      <c r="G37" s="37">
        <f>'Oct 14'!$E37/'Oct 14'!$F37</f>
        <v>38.122486794622304</v>
      </c>
      <c r="H37" s="34">
        <v>38</v>
      </c>
      <c r="I37" s="34">
        <v>38</v>
      </c>
      <c r="J37" s="38">
        <f t="shared" si="1"/>
        <v>0</v>
      </c>
      <c r="K37" s="39">
        <f>'Oct 14'!$F37*'Oct 14'!$I37</f>
        <v>4385400.0000000102</v>
      </c>
      <c r="L37" s="40">
        <f>'Oct 14'!$K37/$K$2</f>
        <v>2.4247544129764743E-2</v>
      </c>
      <c r="M37" s="41"/>
    </row>
    <row r="38" spans="1:15" s="43" customFormat="1" ht="25.5" x14ac:dyDescent="0.25">
      <c r="A38" s="34" t="s">
        <v>177</v>
      </c>
      <c r="B38" s="34" t="s">
        <v>71</v>
      </c>
      <c r="C38" s="34" t="s">
        <v>72</v>
      </c>
      <c r="D38" s="35">
        <v>2.4382000000000001E-2</v>
      </c>
      <c r="E38" s="36">
        <f>'Oct 14'!$D38*$C$6*$C$2</f>
        <v>4399535.6207667636</v>
      </c>
      <c r="F38" s="36">
        <v>133535.9375</v>
      </c>
      <c r="G38" s="37">
        <f>'Oct 14'!$E38/'Oct 14'!$F38</f>
        <v>32.946453989337243</v>
      </c>
      <c r="H38" s="34">
        <v>32</v>
      </c>
      <c r="I38" s="34">
        <v>33</v>
      </c>
      <c r="J38" s="38">
        <f t="shared" si="1"/>
        <v>1</v>
      </c>
      <c r="K38" s="39">
        <f>'Oct 14'!$F38*'Oct 14'!$I38</f>
        <v>4406685.9375</v>
      </c>
      <c r="L38" s="40">
        <f>'Oct 14'!$K38/$K$2</f>
        <v>2.436523731827079E-2</v>
      </c>
      <c r="M38" s="41"/>
    </row>
    <row r="39" spans="1:15" s="43" customFormat="1" ht="25.5" x14ac:dyDescent="0.25">
      <c r="A39" s="34" t="s">
        <v>177</v>
      </c>
      <c r="B39" s="34" t="s">
        <v>67</v>
      </c>
      <c r="C39" s="34" t="s">
        <v>68</v>
      </c>
      <c r="D39" s="35">
        <v>2.4382000000000001E-2</v>
      </c>
      <c r="E39" s="36">
        <f>'Oct 14'!$D39*$C$6*$C$2</f>
        <v>4399535.6207667636</v>
      </c>
      <c r="F39" s="36">
        <v>176574.625</v>
      </c>
      <c r="G39" s="37">
        <f>'Oct 14'!$E39/'Oct 14'!$F39</f>
        <v>24.916012823285133</v>
      </c>
      <c r="H39" s="34">
        <v>24</v>
      </c>
      <c r="I39" s="34">
        <v>25</v>
      </c>
      <c r="J39" s="38">
        <f t="shared" si="1"/>
        <v>1</v>
      </c>
      <c r="K39" s="39">
        <f>'Oct 14'!$F39*'Oct 14'!$I39</f>
        <v>4414365.625</v>
      </c>
      <c r="L39" s="40">
        <f>'Oct 14'!$K39/$K$2</f>
        <v>2.4407699479432613E-2</v>
      </c>
      <c r="M39" s="41"/>
    </row>
    <row r="40" spans="1:15" s="43" customFormat="1" ht="25.5" x14ac:dyDescent="0.25">
      <c r="A40" s="34" t="s">
        <v>177</v>
      </c>
      <c r="B40" s="34" t="s">
        <v>80</v>
      </c>
      <c r="C40" s="34" t="s">
        <v>81</v>
      </c>
      <c r="D40" s="35">
        <v>2.4382000000000001E-2</v>
      </c>
      <c r="E40" s="36">
        <f>'Oct 14'!$D40*$C$6*$C$2</f>
        <v>4399535.6207667636</v>
      </c>
      <c r="F40" s="36">
        <v>264361.1875</v>
      </c>
      <c r="G40" s="37">
        <f>'Oct 14'!$E40/'Oct 14'!$F40</f>
        <v>16.642138970444606</v>
      </c>
      <c r="H40" s="34">
        <v>16</v>
      </c>
      <c r="I40" s="34">
        <v>17</v>
      </c>
      <c r="J40" s="38">
        <f t="shared" si="1"/>
        <v>1</v>
      </c>
      <c r="K40" s="39">
        <f>'Oct 14'!$F40*'Oct 14'!$I40</f>
        <v>4494140.1875</v>
      </c>
      <c r="L40" s="40">
        <f>'Oct 14'!$K40/$K$2</f>
        <v>2.4848785178491175E-2</v>
      </c>
      <c r="M40" s="41"/>
    </row>
    <row r="41" spans="1:15" s="64" customFormat="1" ht="12.75" x14ac:dyDescent="0.2">
      <c r="A41" s="34"/>
      <c r="B41" s="61"/>
      <c r="C41" s="61"/>
      <c r="D41" s="35"/>
      <c r="E41" s="63"/>
      <c r="F41" s="36"/>
      <c r="G41" s="37"/>
      <c r="H41" s="34"/>
      <c r="I41" s="34"/>
      <c r="J41" s="45"/>
      <c r="K41" s="36"/>
      <c r="L41" s="46"/>
      <c r="M41" s="62"/>
    </row>
    <row r="42" spans="1:15" s="15" customFormat="1" ht="12.75" x14ac:dyDescent="0.2">
      <c r="A42" s="47" t="s">
        <v>182</v>
      </c>
      <c r="B42" s="65"/>
      <c r="C42" s="65"/>
      <c r="D42" s="55">
        <f>SUBTOTAL(9,D29:D41)</f>
        <v>0.29258400000000007</v>
      </c>
      <c r="E42" s="66">
        <f>'Oct 14'!$D42*$C$6*$C$2</f>
        <v>52794427.449201167</v>
      </c>
      <c r="F42" s="67"/>
      <c r="G42" s="68"/>
      <c r="H42" s="54"/>
      <c r="I42" s="54"/>
      <c r="J42" s="58"/>
      <c r="K42" s="66">
        <f>SUM(K29:K41)</f>
        <v>53002065.321659401</v>
      </c>
      <c r="L42" s="69">
        <f>'Oct 14'!$K42/$K$2</f>
        <v>0.29305648694659708</v>
      </c>
      <c r="M42" s="70"/>
    </row>
    <row r="43" spans="1:15" s="64" customFormat="1" ht="12.75" x14ac:dyDescent="0.2">
      <c r="A43" s="34"/>
      <c r="B43" s="61"/>
      <c r="C43" s="61"/>
      <c r="D43" s="35"/>
      <c r="E43" s="63"/>
      <c r="F43" s="36"/>
      <c r="G43" s="37"/>
      <c r="H43" s="34"/>
      <c r="I43" s="34"/>
      <c r="J43" s="45"/>
      <c r="K43" s="36"/>
      <c r="L43" s="40"/>
      <c r="M43" s="62"/>
    </row>
    <row r="44" spans="1:15" s="2" customFormat="1" ht="24.75" customHeight="1" x14ac:dyDescent="0.2">
      <c r="A44" s="34" t="s">
        <v>176</v>
      </c>
      <c r="B44" s="61" t="s">
        <v>183</v>
      </c>
      <c r="C44" s="61" t="s">
        <v>131</v>
      </c>
      <c r="D44" s="35">
        <v>7.1429000000000006E-2</v>
      </c>
      <c r="E44" s="36">
        <f>'Oct 14'!$D44*$C$6*$C$2</f>
        <v>12888788.034441357</v>
      </c>
      <c r="F44" s="36">
        <v>416329.16666666698</v>
      </c>
      <c r="G44" s="37">
        <f>'Oct 14'!$E44/'Oct 14'!$F44</f>
        <v>30.95816739825182</v>
      </c>
      <c r="H44" s="34">
        <v>30</v>
      </c>
      <c r="I44" s="34">
        <v>31</v>
      </c>
      <c r="J44" s="38">
        <f t="shared" ref="J44:J50" si="2">I44-H44</f>
        <v>1</v>
      </c>
      <c r="K44" s="39">
        <f>'Oct 14'!$F44*'Oct 14'!$I44</f>
        <v>12906204.166666675</v>
      </c>
      <c r="L44" s="40">
        <f>'Oct 14'!$K44/$K$2</f>
        <v>7.1360367373330388E-2</v>
      </c>
      <c r="M44" s="62"/>
    </row>
    <row r="45" spans="1:15" s="43" customFormat="1" ht="25.5" x14ac:dyDescent="0.25">
      <c r="A45" s="34" t="s">
        <v>177</v>
      </c>
      <c r="B45" s="34" t="s">
        <v>82</v>
      </c>
      <c r="C45" s="34" t="s">
        <v>83</v>
      </c>
      <c r="D45" s="35">
        <v>7.1429000000000006E-2</v>
      </c>
      <c r="E45" s="36">
        <f>'Oct 14'!$D45*$C$6*$C$2</f>
        <v>12888788.034441357</v>
      </c>
      <c r="F45" s="36">
        <v>249393.74509803901</v>
      </c>
      <c r="G45" s="37">
        <f>'Oct 14'!$E45/'Oct 14'!$F45</f>
        <v>51.680478311012386</v>
      </c>
      <c r="H45" s="34">
        <v>51</v>
      </c>
      <c r="I45" s="34">
        <v>52</v>
      </c>
      <c r="J45" s="38">
        <f t="shared" si="2"/>
        <v>1</v>
      </c>
      <c r="K45" s="39">
        <f>'Oct 14'!$F45*'Oct 14'!$I45</f>
        <v>12968474.745098028</v>
      </c>
      <c r="L45" s="40">
        <f>'Oct 14'!$K45/$K$2</f>
        <v>7.1704670880080104E-2</v>
      </c>
      <c r="M45" s="41"/>
    </row>
    <row r="46" spans="1:15" s="43" customFormat="1" ht="25.5" x14ac:dyDescent="0.25">
      <c r="A46" s="34" t="s">
        <v>177</v>
      </c>
      <c r="B46" s="34" t="s">
        <v>184</v>
      </c>
      <c r="C46" s="34" t="s">
        <v>105</v>
      </c>
      <c r="D46" s="35">
        <v>7.1429000000000006E-2</v>
      </c>
      <c r="E46" s="36">
        <f>'Oct 14'!$D46*$C$6*$C$2</f>
        <v>12888788.034441357</v>
      </c>
      <c r="F46" s="36">
        <v>416355.53333333298</v>
      </c>
      <c r="G46" s="37">
        <f>'Oct 14'!$E46/'Oct 14'!$F46</f>
        <v>30.956206901476754</v>
      </c>
      <c r="H46" s="34">
        <v>30</v>
      </c>
      <c r="I46" s="34">
        <v>31</v>
      </c>
      <c r="J46" s="38">
        <f t="shared" si="2"/>
        <v>1</v>
      </c>
      <c r="K46" s="39">
        <f>'Oct 14'!$F46*'Oct 14'!$I46</f>
        <v>12907021.533333322</v>
      </c>
      <c r="L46" s="40">
        <f>'Oct 14'!$K46/$K$2</f>
        <v>7.1364886718046888E-2</v>
      </c>
      <c r="M46" s="41"/>
    </row>
    <row r="47" spans="1:15" s="43" customFormat="1" ht="25.5" x14ac:dyDescent="0.25">
      <c r="A47" s="34" t="s">
        <v>177</v>
      </c>
      <c r="B47" s="34" t="s">
        <v>107</v>
      </c>
      <c r="C47" s="34" t="s">
        <v>108</v>
      </c>
      <c r="D47" s="35">
        <v>7.1429000000000006E-2</v>
      </c>
      <c r="E47" s="36">
        <f>'Oct 14'!$D47*$C$6*$C$2</f>
        <v>12888788.034441357</v>
      </c>
      <c r="F47" s="36">
        <v>249808.921568627</v>
      </c>
      <c r="G47" s="37">
        <f>'Oct 14'!$E47/'Oct 14'!$F47</f>
        <v>51.594586588456075</v>
      </c>
      <c r="H47" s="34">
        <v>51</v>
      </c>
      <c r="I47" s="34">
        <v>52</v>
      </c>
      <c r="J47" s="38">
        <f t="shared" si="2"/>
        <v>1</v>
      </c>
      <c r="K47" s="39">
        <f>'Oct 14'!$F47*'Oct 14'!$I47</f>
        <v>12990063.921568604</v>
      </c>
      <c r="L47" s="40">
        <f>'Oct 14'!$K47/$K$2</f>
        <v>7.1824040723012461E-2</v>
      </c>
      <c r="M47" s="41"/>
    </row>
    <row r="48" spans="1:15" s="43" customFormat="1" ht="25.5" x14ac:dyDescent="0.25">
      <c r="A48" s="34" t="s">
        <v>177</v>
      </c>
      <c r="B48" s="34" t="s">
        <v>185</v>
      </c>
      <c r="C48" s="34" t="s">
        <v>86</v>
      </c>
      <c r="D48" s="35">
        <v>7.1429000000000006E-2</v>
      </c>
      <c r="E48" s="36">
        <f>'Oct 14'!$D48*$C$6*$C$2</f>
        <v>12888788.034441357</v>
      </c>
      <c r="F48" s="36">
        <v>160944.67948717999</v>
      </c>
      <c r="G48" s="37">
        <f>'Oct 14'!$E48/'Oct 14'!$F48</f>
        <v>80.082100728704177</v>
      </c>
      <c r="H48" s="34">
        <v>78</v>
      </c>
      <c r="I48" s="34">
        <v>80</v>
      </c>
      <c r="J48" s="38">
        <f t="shared" si="2"/>
        <v>2</v>
      </c>
      <c r="K48" s="39">
        <f>'Oct 14'!$F48*'Oct 14'!$I48</f>
        <v>12875574.358974399</v>
      </c>
      <c r="L48" s="40">
        <f>'Oct 14'!$K48/$K$2</f>
        <v>7.1191010504240981E-2</v>
      </c>
      <c r="M48" s="41"/>
    </row>
    <row r="49" spans="1:16" s="43" customFormat="1" ht="25.5" x14ac:dyDescent="0.25">
      <c r="A49" s="34" t="s">
        <v>177</v>
      </c>
      <c r="B49" s="34" t="s">
        <v>186</v>
      </c>
      <c r="C49" s="34" t="s">
        <v>187</v>
      </c>
      <c r="D49" s="35">
        <v>7.1429000000000006E-2</v>
      </c>
      <c r="E49" s="36">
        <f>'Oct 14'!$D49*$C$6*$C$2</f>
        <v>12888788.034441357</v>
      </c>
      <c r="F49" s="36">
        <v>176455.295774648</v>
      </c>
      <c r="G49" s="37">
        <f>'Oct 14'!$E49/'Oct 14'!$F49</f>
        <v>73.042795218238723</v>
      </c>
      <c r="H49" s="34">
        <v>71</v>
      </c>
      <c r="I49" s="34">
        <v>73</v>
      </c>
      <c r="J49" s="38">
        <f t="shared" si="2"/>
        <v>2</v>
      </c>
      <c r="K49" s="39">
        <f>'Oct 14'!$F49*'Oct 14'!$I49</f>
        <v>12881236.591549303</v>
      </c>
      <c r="L49" s="40">
        <f>'Oct 14'!$K49/$K$2</f>
        <v>7.1222317850032246E-2</v>
      </c>
      <c r="M49" s="41"/>
    </row>
    <row r="50" spans="1:16" s="43" customFormat="1" ht="25.5" x14ac:dyDescent="0.25">
      <c r="A50" s="34" t="s">
        <v>177</v>
      </c>
      <c r="B50" s="34" t="s">
        <v>188</v>
      </c>
      <c r="C50" s="34" t="s">
        <v>189</v>
      </c>
      <c r="D50" s="35">
        <v>7.1429000000000006E-2</v>
      </c>
      <c r="E50" s="36">
        <f>'Oct 14'!$D50*$C$6*$C$2</f>
        <v>12888788.034441357</v>
      </c>
      <c r="F50" s="36">
        <v>716345.33333333302</v>
      </c>
      <c r="G50" s="37">
        <f>'Oct 14'!$E50/'Oct 14'!$F50</f>
        <v>17.99242269711819</v>
      </c>
      <c r="H50" s="34">
        <v>18</v>
      </c>
      <c r="I50" s="34">
        <v>18</v>
      </c>
      <c r="J50" s="38">
        <f t="shared" si="2"/>
        <v>0</v>
      </c>
      <c r="K50" s="39">
        <f>'Oct 14'!$F50*'Oct 14'!$I50</f>
        <v>12894215.999999994</v>
      </c>
      <c r="L50" s="40">
        <f>'Oct 14'!$K50/$K$2</f>
        <v>7.1294082975034839E-2</v>
      </c>
      <c r="M50" s="41"/>
    </row>
    <row r="51" spans="1:16" s="44" customFormat="1" ht="12.75" x14ac:dyDescent="0.25">
      <c r="A51" s="34"/>
      <c r="B51" s="34"/>
      <c r="C51" s="34"/>
      <c r="D51" s="35"/>
      <c r="E51" s="36"/>
      <c r="F51" s="36"/>
      <c r="G51" s="37"/>
      <c r="H51" s="34"/>
      <c r="I51" s="34"/>
      <c r="J51" s="45"/>
      <c r="K51" s="36"/>
      <c r="L51" s="40"/>
      <c r="M51" s="34"/>
    </row>
    <row r="52" spans="1:16" s="53" customFormat="1" ht="25.5" x14ac:dyDescent="0.25">
      <c r="A52" s="47" t="s">
        <v>190</v>
      </c>
      <c r="B52" s="47"/>
      <c r="C52" s="47"/>
      <c r="D52" s="55">
        <f>SUBTOTAL(9,D44:D51)</f>
        <v>0.50000300000000009</v>
      </c>
      <c r="E52" s="49">
        <f>'Oct 14'!$D52*$C$6*$C$2</f>
        <v>90221516.241089508</v>
      </c>
      <c r="F52" s="68"/>
      <c r="G52" s="68"/>
      <c r="H52" s="54"/>
      <c r="I52" s="54"/>
      <c r="J52" s="58"/>
      <c r="K52" s="49">
        <f>SUM(K44:K51)</f>
        <v>90422791.317190334</v>
      </c>
      <c r="L52" s="71">
        <f>'Oct 14'!$K52/$K$2</f>
        <v>0.49996137702377796</v>
      </c>
      <c r="M52" s="47"/>
    </row>
    <row r="53" spans="1:16" s="44" customFormat="1" ht="12.75" x14ac:dyDescent="0.25">
      <c r="A53" s="34"/>
      <c r="B53" s="34"/>
      <c r="C53" s="34"/>
      <c r="D53" s="35"/>
      <c r="E53" s="36"/>
      <c r="F53" s="36"/>
      <c r="G53" s="37"/>
      <c r="H53" s="34"/>
      <c r="I53" s="34"/>
      <c r="J53" s="45"/>
      <c r="K53" s="36"/>
      <c r="L53" s="40"/>
      <c r="M53" s="34"/>
    </row>
    <row r="54" spans="1:16" s="43" customFormat="1" ht="12.75" x14ac:dyDescent="0.25">
      <c r="A54" s="34"/>
      <c r="B54" s="34"/>
      <c r="C54" s="34"/>
      <c r="D54" s="35"/>
      <c r="E54" s="36"/>
      <c r="F54" s="36"/>
      <c r="G54" s="72"/>
      <c r="H54" s="34"/>
      <c r="I54" s="34"/>
      <c r="J54" s="38"/>
      <c r="K54" s="39"/>
      <c r="L54" s="40"/>
      <c r="M54" s="41"/>
    </row>
    <row r="55" spans="1:16" s="43" customFormat="1" ht="25.5" x14ac:dyDescent="0.25">
      <c r="A55" s="34" t="s">
        <v>191</v>
      </c>
      <c r="B55" s="34" t="s">
        <v>63</v>
      </c>
      <c r="C55" s="34" t="s">
        <v>64</v>
      </c>
      <c r="D55" s="35">
        <v>9.7499999999999996E-4</v>
      </c>
      <c r="E55" s="36">
        <f>'Oct 14'!$D55*$C$6*$C$2</f>
        <v>175930.90108471797</v>
      </c>
      <c r="F55" s="36">
        <v>46337.666666666701</v>
      </c>
      <c r="G55" s="72">
        <f>'Oct 14'!$E55/'Oct 14'!$F55</f>
        <v>3.7967147191568671</v>
      </c>
      <c r="H55" s="34">
        <v>3</v>
      </c>
      <c r="I55" s="34">
        <v>4</v>
      </c>
      <c r="J55" s="38">
        <f t="shared" ref="J55:J64" si="3">I55-H55</f>
        <v>1</v>
      </c>
      <c r="K55" s="39">
        <f>'Oct 14'!$F55*'Oct 14'!$I55</f>
        <v>185350.6666666668</v>
      </c>
      <c r="L55" s="40">
        <f>'Oct 14'!$K55/$K$2</f>
        <v>1.0248320494097023E-3</v>
      </c>
      <c r="M55" s="41"/>
    </row>
    <row r="56" spans="1:16" s="43" customFormat="1" ht="25.5" x14ac:dyDescent="0.25">
      <c r="A56" s="34" t="s">
        <v>191</v>
      </c>
      <c r="B56" s="34" t="s">
        <v>73</v>
      </c>
      <c r="C56" s="34" t="s">
        <v>74</v>
      </c>
      <c r="D56" s="35">
        <v>9.7499999999999996E-4</v>
      </c>
      <c r="E56" s="36">
        <f>'Oct 14'!$D56*$C$6*$C$2</f>
        <v>175930.90108471797</v>
      </c>
      <c r="F56" s="36">
        <v>168345</v>
      </c>
      <c r="G56" s="72">
        <f>'Oct 14'!$E56/'Oct 14'!$F56</f>
        <v>1.045061635835445</v>
      </c>
      <c r="H56" s="34">
        <v>1</v>
      </c>
      <c r="I56" s="34">
        <v>1</v>
      </c>
      <c r="J56" s="38">
        <f t="shared" si="3"/>
        <v>0</v>
      </c>
      <c r="K56" s="39">
        <f>'Oct 14'!$F56*'Oct 14'!$I56</f>
        <v>168345</v>
      </c>
      <c r="L56" s="40">
        <f>'Oct 14'!$K56/$K$2</f>
        <v>9.3080512986848092E-4</v>
      </c>
      <c r="M56" s="41"/>
      <c r="P56" s="43" t="s">
        <v>194</v>
      </c>
    </row>
    <row r="57" spans="1:16" s="43" customFormat="1" ht="25.5" x14ac:dyDescent="0.25">
      <c r="A57" s="34" t="s">
        <v>191</v>
      </c>
      <c r="B57" s="34" t="s">
        <v>92</v>
      </c>
      <c r="C57" s="34" t="s">
        <v>93</v>
      </c>
      <c r="D57" s="35">
        <v>9.7499999999999996E-4</v>
      </c>
      <c r="E57" s="36">
        <f>'Oct 14'!$D57*$C$6*$C$2</f>
        <v>175930.90108471797</v>
      </c>
      <c r="F57" s="36">
        <v>90877.5</v>
      </c>
      <c r="G57" s="72">
        <f>'Oct 14'!$E57/'Oct 14'!$F57</f>
        <v>1.9359126415748449</v>
      </c>
      <c r="H57" s="34">
        <v>2</v>
      </c>
      <c r="I57" s="34">
        <v>2</v>
      </c>
      <c r="J57" s="38">
        <f t="shared" si="3"/>
        <v>0</v>
      </c>
      <c r="K57" s="39">
        <f>'Oct 14'!$F57*'Oct 14'!$I57</f>
        <v>181755</v>
      </c>
      <c r="L57" s="40">
        <f>'Oct 14'!$K57/$K$2</f>
        <v>1.0049510610902952E-3</v>
      </c>
      <c r="M57" s="41"/>
    </row>
    <row r="58" spans="1:16" s="43" customFormat="1" ht="25.5" x14ac:dyDescent="0.25">
      <c r="A58" s="34" t="s">
        <v>191</v>
      </c>
      <c r="B58" s="34" t="s">
        <v>94</v>
      </c>
      <c r="C58" s="34" t="s">
        <v>95</v>
      </c>
      <c r="D58" s="35">
        <v>9.7499999999999996E-4</v>
      </c>
      <c r="E58" s="36">
        <f>'Oct 14'!$D58*$C$6*$C$2</f>
        <v>175930.90108471797</v>
      </c>
      <c r="F58" s="36">
        <v>236993</v>
      </c>
      <c r="G58" s="72">
        <f>'Oct 14'!$E58/'Oct 14'!$F58</f>
        <v>0.74234640299383514</v>
      </c>
      <c r="H58" s="34">
        <v>1</v>
      </c>
      <c r="I58" s="34">
        <v>1</v>
      </c>
      <c r="J58" s="38">
        <f t="shared" si="3"/>
        <v>0</v>
      </c>
      <c r="K58" s="39">
        <f>'Oct 14'!$F58*'Oct 14'!$I58</f>
        <v>236993</v>
      </c>
      <c r="L58" s="40">
        <f>'Oct 14'!$K58/$K$2</f>
        <v>1.3103703712193466E-3</v>
      </c>
      <c r="M58" s="41"/>
    </row>
    <row r="59" spans="1:16" s="43" customFormat="1" ht="25.5" x14ac:dyDescent="0.25">
      <c r="A59" s="34" t="s">
        <v>191</v>
      </c>
      <c r="B59" s="34" t="s">
        <v>213</v>
      </c>
      <c r="C59" s="34" t="s">
        <v>197</v>
      </c>
      <c r="D59" s="35">
        <v>9.7499999999999996E-4</v>
      </c>
      <c r="E59" s="36">
        <f>'Oct 14'!$D59*$C$6*$C$2</f>
        <v>175930.90108471797</v>
      </c>
      <c r="F59" s="36">
        <v>44432.5</v>
      </c>
      <c r="G59" s="72">
        <f>'Oct 14'!$E59/'Oct 14'!$F59</f>
        <v>3.9595093925554039</v>
      </c>
      <c r="H59" s="34">
        <v>4</v>
      </c>
      <c r="I59" s="34">
        <v>4</v>
      </c>
      <c r="J59" s="38">
        <f t="shared" si="3"/>
        <v>0</v>
      </c>
      <c r="K59" s="39">
        <f>'Oct 14'!$F59*'Oct 14'!$I59</f>
        <v>177730</v>
      </c>
      <c r="L59" s="40">
        <f>'Oct 14'!$K59/$K$2</f>
        <v>9.8269622341931812E-4</v>
      </c>
      <c r="M59" s="41"/>
    </row>
    <row r="60" spans="1:16" s="43" customFormat="1" ht="25.5" x14ac:dyDescent="0.25">
      <c r="A60" s="34" t="s">
        <v>191</v>
      </c>
      <c r="B60" s="34" t="s">
        <v>198</v>
      </c>
      <c r="C60" s="34" t="s">
        <v>199</v>
      </c>
      <c r="D60" s="35">
        <v>9.7499999999999996E-4</v>
      </c>
      <c r="E60" s="36">
        <f>'Oct 14'!$D60*$C$6*$C$2</f>
        <v>175930.90108471797</v>
      </c>
      <c r="F60" s="36">
        <v>43888.75</v>
      </c>
      <c r="G60" s="72">
        <f>'Oct 14'!$E60/'Oct 14'!$F60</f>
        <v>4.0085648619456693</v>
      </c>
      <c r="H60" s="34">
        <v>4</v>
      </c>
      <c r="I60" s="34">
        <v>4</v>
      </c>
      <c r="J60" s="38">
        <f t="shared" si="3"/>
        <v>0</v>
      </c>
      <c r="K60" s="39">
        <f>'Oct 14'!$F60*'Oct 14'!$I60</f>
        <v>175555</v>
      </c>
      <c r="L60" s="40">
        <f>'Oct 14'!$K60/$K$2</f>
        <v>9.7067031734866598E-4</v>
      </c>
      <c r="M60" s="41"/>
    </row>
    <row r="61" spans="1:16" s="43" customFormat="1" ht="25.5" x14ac:dyDescent="0.25">
      <c r="A61" s="34" t="s">
        <v>191</v>
      </c>
      <c r="B61" s="34" t="s">
        <v>200</v>
      </c>
      <c r="C61" s="34" t="s">
        <v>99</v>
      </c>
      <c r="D61" s="35">
        <v>9.7499999999999996E-4</v>
      </c>
      <c r="E61" s="36">
        <f>'Oct 14'!$D61*$C$6*$C$2</f>
        <v>175930.90108471797</v>
      </c>
      <c r="F61" s="36">
        <v>12006.714285714301</v>
      </c>
      <c r="G61" s="72">
        <f>'Oct 14'!$E61/'Oct 14'!$F61</f>
        <v>14.65270988367252</v>
      </c>
      <c r="H61" s="34">
        <v>14</v>
      </c>
      <c r="I61" s="34">
        <v>14</v>
      </c>
      <c r="J61" s="38">
        <f t="shared" si="3"/>
        <v>0</v>
      </c>
      <c r="K61" s="39">
        <f>'Oct 14'!$F61*'Oct 14'!$I61</f>
        <v>168094.0000000002</v>
      </c>
      <c r="L61" s="40">
        <f>'Oct 14'!$K61/$K$2</f>
        <v>9.2941731266216773E-4</v>
      </c>
      <c r="M61" s="41"/>
    </row>
    <row r="62" spans="1:16" s="43" customFormat="1" ht="25.5" x14ac:dyDescent="0.25">
      <c r="A62" s="34" t="s">
        <v>191</v>
      </c>
      <c r="B62" s="34" t="s">
        <v>101</v>
      </c>
      <c r="C62" s="34" t="s">
        <v>102</v>
      </c>
      <c r="D62" s="35">
        <v>9.7499999999999996E-4</v>
      </c>
      <c r="E62" s="36">
        <f>'Oct 14'!$D62*$C$6*$C$2</f>
        <v>175930.90108471797</v>
      </c>
      <c r="F62" s="36">
        <v>91627</v>
      </c>
      <c r="G62" s="72">
        <f>'Oct 14'!$E62/'Oct 14'!$F62</f>
        <v>1.9200770633625239</v>
      </c>
      <c r="H62" s="34">
        <v>2</v>
      </c>
      <c r="I62" s="34">
        <v>2</v>
      </c>
      <c r="J62" s="38">
        <f t="shared" si="3"/>
        <v>0</v>
      </c>
      <c r="K62" s="39">
        <f>'Oct 14'!$F62*'Oct 14'!$I62</f>
        <v>183254</v>
      </c>
      <c r="L62" s="40">
        <f>'Oct 14'!$K62/$K$2</f>
        <v>1.0132392602626666E-3</v>
      </c>
      <c r="M62" s="41"/>
    </row>
    <row r="63" spans="1:16" s="2" customFormat="1" ht="25.5" x14ac:dyDescent="0.2">
      <c r="A63" s="34" t="s">
        <v>191</v>
      </c>
      <c r="B63" s="61" t="s">
        <v>132</v>
      </c>
      <c r="C63" s="61" t="s">
        <v>133</v>
      </c>
      <c r="D63" s="35">
        <v>9.7499999999999996E-4</v>
      </c>
      <c r="E63" s="36">
        <f>'Oct 14'!$D63*$C$6*$C$2</f>
        <v>175930.90108471797</v>
      </c>
      <c r="F63" s="36">
        <v>60470.666666666701</v>
      </c>
      <c r="G63" s="72">
        <f>'Oct 14'!$E63/'Oct 14'!$F63</f>
        <v>2.9093593767454942</v>
      </c>
      <c r="H63" s="34">
        <v>3</v>
      </c>
      <c r="I63" s="34">
        <v>3</v>
      </c>
      <c r="J63" s="38">
        <f t="shared" si="3"/>
        <v>0</v>
      </c>
      <c r="K63" s="39">
        <f>'Oct 14'!$F63*'Oct 14'!$I63</f>
        <v>181412.00000000012</v>
      </c>
      <c r="L63" s="40">
        <f>'Oct 14'!$K63/$K$2</f>
        <v>1.0030545618800735E-3</v>
      </c>
      <c r="M63" s="62"/>
    </row>
    <row r="64" spans="1:16" s="43" customFormat="1" ht="25.5" x14ac:dyDescent="0.25">
      <c r="A64" s="34" t="s">
        <v>191</v>
      </c>
      <c r="B64" s="34" t="s">
        <v>203</v>
      </c>
      <c r="C64" s="34" t="s">
        <v>204</v>
      </c>
      <c r="D64" s="35">
        <v>9.7499999999999996E-4</v>
      </c>
      <c r="E64" s="36">
        <f>'Oct 14'!$D64*$C$6*$C$2</f>
        <v>175930.90108471797</v>
      </c>
      <c r="F64" s="36">
        <v>121766</v>
      </c>
      <c r="G64" s="72">
        <f>'Oct 14'!$E64/'Oct 14'!$F64</f>
        <v>1.4448277933472231</v>
      </c>
      <c r="H64" s="34">
        <v>1</v>
      </c>
      <c r="I64" s="34">
        <v>1</v>
      </c>
      <c r="J64" s="38">
        <f t="shared" si="3"/>
        <v>0</v>
      </c>
      <c r="K64" s="39">
        <f>'Oct 14'!$F64*'Oct 14'!$I64</f>
        <v>121766</v>
      </c>
      <c r="L64" s="40">
        <f>'Oct 14'!$K64/$K$2</f>
        <v>6.732627487811664E-4</v>
      </c>
      <c r="M64" s="41"/>
    </row>
    <row r="65" spans="1:13" s="43" customFormat="1" ht="12.75" x14ac:dyDescent="0.25">
      <c r="A65" s="34"/>
      <c r="B65" s="34"/>
      <c r="C65" s="34"/>
      <c r="D65" s="35"/>
      <c r="E65" s="36"/>
      <c r="F65" s="36"/>
      <c r="G65" s="37"/>
      <c r="H65" s="34"/>
      <c r="I65" s="34"/>
      <c r="J65" s="41"/>
      <c r="K65" s="39"/>
      <c r="L65" s="40"/>
      <c r="M65" s="41"/>
    </row>
    <row r="66" spans="1:13" s="43" customFormat="1" ht="12.75" x14ac:dyDescent="0.25">
      <c r="A66" s="34"/>
      <c r="B66" s="34"/>
      <c r="C66" s="34"/>
      <c r="D66" s="35"/>
      <c r="E66" s="36"/>
      <c r="F66" s="36"/>
      <c r="G66" s="37"/>
      <c r="H66" s="34"/>
      <c r="I66" s="34"/>
      <c r="J66" s="41"/>
      <c r="K66" s="39"/>
      <c r="L66" s="40"/>
      <c r="M66" s="41"/>
    </row>
    <row r="67" spans="1:13" s="43" customFormat="1" ht="12.75" x14ac:dyDescent="0.25">
      <c r="A67" s="34"/>
      <c r="B67" s="34"/>
      <c r="C67" s="34"/>
      <c r="D67" s="35"/>
      <c r="E67" s="36"/>
      <c r="F67" s="36"/>
      <c r="G67" s="37"/>
      <c r="H67" s="34"/>
      <c r="I67" s="34"/>
      <c r="J67" s="41"/>
      <c r="K67" s="39"/>
      <c r="L67" s="40"/>
      <c r="M67" s="41"/>
    </row>
    <row r="68" spans="1:13" s="43" customFormat="1" ht="12.75" x14ac:dyDescent="0.25">
      <c r="A68" s="34"/>
      <c r="B68" s="34"/>
      <c r="C68" s="34"/>
      <c r="D68" s="35"/>
      <c r="E68" s="36"/>
      <c r="F68" s="36"/>
      <c r="G68" s="37"/>
      <c r="H68" s="34"/>
      <c r="I68" s="34"/>
      <c r="J68" s="41"/>
      <c r="K68" s="39"/>
      <c r="L68" s="40"/>
      <c r="M68" s="41"/>
    </row>
    <row r="69" spans="1:13" s="43" customFormat="1" ht="12.75" x14ac:dyDescent="0.25">
      <c r="A69" s="34"/>
      <c r="B69" s="34"/>
      <c r="C69" s="34"/>
      <c r="D69" s="35"/>
      <c r="E69" s="36"/>
      <c r="F69" s="36"/>
      <c r="G69" s="37"/>
      <c r="H69" s="34"/>
      <c r="I69" s="34"/>
      <c r="J69" s="41"/>
      <c r="K69" s="39"/>
      <c r="L69" s="40"/>
      <c r="M69" s="41"/>
    </row>
    <row r="70" spans="1:13" s="43" customFormat="1" ht="12.75" x14ac:dyDescent="0.25">
      <c r="A70" s="34"/>
      <c r="B70" s="34"/>
      <c r="C70" s="34"/>
      <c r="D70" s="35"/>
      <c r="E70" s="36"/>
      <c r="F70" s="36"/>
      <c r="G70" s="37"/>
      <c r="H70" s="34"/>
      <c r="I70" s="34"/>
      <c r="J70" s="41"/>
      <c r="K70" s="39"/>
      <c r="L70" s="40"/>
      <c r="M70" s="41"/>
    </row>
    <row r="71" spans="1:13" s="43" customFormat="1" ht="12.75" x14ac:dyDescent="0.25">
      <c r="A71" s="34"/>
      <c r="B71" s="34"/>
      <c r="C71" s="34"/>
      <c r="D71" s="35"/>
      <c r="E71" s="36"/>
      <c r="F71" s="36"/>
      <c r="G71" s="37"/>
      <c r="H71" s="34"/>
      <c r="I71" s="34"/>
      <c r="J71" s="41"/>
      <c r="K71" s="39"/>
      <c r="L71" s="40"/>
      <c r="M71" s="41"/>
    </row>
    <row r="72" spans="1:13" s="15" customFormat="1" ht="12.75" x14ac:dyDescent="0.2">
      <c r="A72" s="47" t="s">
        <v>205</v>
      </c>
      <c r="B72" s="65"/>
      <c r="C72" s="65"/>
      <c r="D72" s="88">
        <f>SUM(D55:D71)</f>
        <v>9.75E-3</v>
      </c>
      <c r="E72" s="49">
        <f>SUM(E54:E71)</f>
        <v>1759309.0108471802</v>
      </c>
      <c r="F72" s="68"/>
      <c r="G72" s="68"/>
      <c r="H72" s="65"/>
      <c r="I72" s="65"/>
      <c r="J72" s="47"/>
      <c r="K72" s="49">
        <f>SUM(K54:K71)</f>
        <v>1780254.666666667</v>
      </c>
      <c r="L72" s="52">
        <f>'Oct 14'!$K72/$K$2</f>
        <v>9.8432990359418829E-3</v>
      </c>
      <c r="M72" s="59"/>
    </row>
    <row r="73" spans="1:13" s="2" customFormat="1" ht="12.75" x14ac:dyDescent="0.2">
      <c r="A73" s="34"/>
      <c r="B73" s="61"/>
      <c r="C73" s="61"/>
      <c r="D73" s="74"/>
      <c r="E73" s="36"/>
      <c r="F73" s="36"/>
      <c r="G73" s="37"/>
      <c r="H73" s="61"/>
      <c r="I73" s="61"/>
      <c r="J73" s="34"/>
      <c r="K73" s="34"/>
      <c r="L73" s="40"/>
      <c r="M73" s="62"/>
    </row>
    <row r="74" spans="1:13" s="43" customFormat="1" ht="25.5" x14ac:dyDescent="0.25">
      <c r="A74" s="47" t="s">
        <v>206</v>
      </c>
      <c r="B74" s="54" t="s">
        <v>207</v>
      </c>
      <c r="C74" s="54" t="s">
        <v>119</v>
      </c>
      <c r="D74" s="55">
        <v>1.2357E-2</v>
      </c>
      <c r="E74" s="56">
        <f>'Oct 14'!$D74*$C$6*$C$2</f>
        <v>2229721.1740552415</v>
      </c>
      <c r="F74" s="56">
        <v>26438.5476190476</v>
      </c>
      <c r="G74" s="57">
        <f>'Oct 14'!$E74/'Oct 14'!$F74</f>
        <v>84.335993269495759</v>
      </c>
      <c r="H74" s="54">
        <v>84</v>
      </c>
      <c r="I74" s="54">
        <v>84</v>
      </c>
      <c r="J74" s="75">
        <f>I74-H74</f>
        <v>0</v>
      </c>
      <c r="K74" s="56">
        <f>'Oct 14'!$F74*'Oct 14'!$I74</f>
        <v>2220837.9999999986</v>
      </c>
      <c r="L74" s="76">
        <f>'Oct 14'!$K74/$K$2</f>
        <v>1.2279351349947169E-2</v>
      </c>
      <c r="M74" s="54"/>
    </row>
    <row r="75" spans="1:13" s="2" customFormat="1" ht="12.75" x14ac:dyDescent="0.2">
      <c r="A75" s="34"/>
      <c r="B75" s="61"/>
      <c r="C75" s="61"/>
      <c r="D75" s="74"/>
      <c r="E75" s="36"/>
      <c r="F75" s="36"/>
      <c r="G75" s="37"/>
      <c r="H75" s="61"/>
      <c r="I75" s="61"/>
      <c r="J75" s="34"/>
      <c r="K75" s="34"/>
      <c r="L75" s="40"/>
      <c r="M75" s="62"/>
    </row>
    <row r="76" spans="1:13" s="2" customFormat="1" ht="12.75" x14ac:dyDescent="0.2">
      <c r="A76" s="34"/>
      <c r="B76" s="61"/>
      <c r="C76" s="61"/>
      <c r="D76" s="77"/>
      <c r="E76" s="63"/>
      <c r="F76" s="36"/>
      <c r="G76" s="37"/>
      <c r="H76" s="61"/>
      <c r="I76" s="61"/>
      <c r="J76" s="34"/>
      <c r="K76" s="34"/>
      <c r="L76" s="40"/>
      <c r="M76" s="62"/>
    </row>
    <row r="77" spans="1:13" s="15" customFormat="1" ht="12.75" x14ac:dyDescent="0.2">
      <c r="A77" s="47" t="s">
        <v>208</v>
      </c>
      <c r="B77" s="65"/>
      <c r="C77" s="65"/>
      <c r="D77" s="65"/>
      <c r="E77" s="78"/>
      <c r="F77" s="78"/>
      <c r="G77" s="47"/>
      <c r="H77" s="65"/>
      <c r="I77" s="65"/>
      <c r="J77" s="65"/>
      <c r="K77" s="78">
        <f>SUM(K25,K27,K42,K52,K72,K74)</f>
        <v>180859553.30283415</v>
      </c>
      <c r="L77" s="52">
        <f>'Oct 14'!$K77/$K$2</f>
        <v>1</v>
      </c>
      <c r="M77" s="65"/>
    </row>
    <row r="78" spans="1:13" s="2" customFormat="1" ht="12.75" x14ac:dyDescent="0.2">
      <c r="A78" s="62"/>
      <c r="B78" s="62"/>
      <c r="C78" s="62"/>
      <c r="D78" s="79"/>
      <c r="E78" s="80"/>
      <c r="F78" s="36"/>
      <c r="G78" s="81"/>
      <c r="H78" s="62"/>
      <c r="I78" s="62"/>
      <c r="J78" s="62"/>
      <c r="K78" s="62"/>
      <c r="L78" s="40"/>
      <c r="M78" s="62"/>
    </row>
    <row r="79" spans="1:13" s="2" customFormat="1" ht="12.75" x14ac:dyDescent="0.2">
      <c r="A79" s="62"/>
      <c r="B79" s="62"/>
      <c r="C79" s="62"/>
      <c r="D79" s="79"/>
      <c r="E79" s="80"/>
      <c r="F79" s="36"/>
      <c r="G79" s="81"/>
      <c r="H79" s="62"/>
      <c r="I79" s="62"/>
      <c r="J79" s="62"/>
      <c r="K79" s="62"/>
      <c r="L79" s="40"/>
      <c r="M79" s="62"/>
    </row>
    <row r="80" spans="1:13" s="2" customFormat="1" ht="12.75" x14ac:dyDescent="0.2">
      <c r="A80" s="62"/>
      <c r="B80" s="62"/>
      <c r="C80" s="62"/>
      <c r="D80" s="79"/>
      <c r="E80" s="80"/>
      <c r="F80" s="36"/>
      <c r="G80" s="81"/>
      <c r="H80" s="62"/>
      <c r="I80" s="62"/>
      <c r="J80" s="62"/>
      <c r="K80" s="62"/>
      <c r="L80" s="40"/>
      <c r="M80" s="62"/>
    </row>
    <row r="81" spans="1:13" s="2" customFormat="1" ht="12.75" x14ac:dyDescent="0.2">
      <c r="A81" s="62"/>
      <c r="B81" s="62"/>
      <c r="C81" s="62"/>
      <c r="D81" s="79"/>
      <c r="E81" s="80"/>
      <c r="F81" s="36"/>
      <c r="G81" s="81"/>
      <c r="H81" s="62"/>
      <c r="I81" s="62"/>
      <c r="J81" s="62"/>
      <c r="K81" s="62"/>
      <c r="L81" s="40"/>
      <c r="M81" s="62"/>
    </row>
    <row r="82" spans="1:13" s="2" customFormat="1" ht="12.75" x14ac:dyDescent="0.2">
      <c r="A82" s="62"/>
      <c r="B82" s="62"/>
      <c r="C82" s="62"/>
      <c r="D82" s="79"/>
      <c r="E82" s="80"/>
      <c r="F82" s="36"/>
      <c r="G82" s="81"/>
      <c r="H82" s="62"/>
      <c r="I82" s="62"/>
      <c r="J82" s="62"/>
      <c r="K82" s="62"/>
      <c r="L82" s="40"/>
      <c r="M82" s="62"/>
    </row>
    <row r="83" spans="1:13" s="2" customFormat="1" ht="12.75" x14ac:dyDescent="0.2">
      <c r="A83" s="62"/>
      <c r="B83" s="62"/>
      <c r="C83" s="62"/>
      <c r="D83" s="79"/>
      <c r="E83" s="80"/>
      <c r="F83" s="36"/>
      <c r="G83" s="81"/>
      <c r="H83" s="62"/>
      <c r="I83" s="62"/>
      <c r="J83" s="62"/>
      <c r="K83" s="62"/>
      <c r="L83" s="40"/>
      <c r="M83" s="62"/>
    </row>
    <row r="84" spans="1:13" s="2" customFormat="1" ht="12.75" x14ac:dyDescent="0.2">
      <c r="A84" s="62"/>
      <c r="B84" s="62"/>
      <c r="C84" s="62"/>
      <c r="D84" s="79"/>
      <c r="E84" s="80"/>
      <c r="F84" s="36"/>
      <c r="G84" s="81"/>
      <c r="H84" s="62"/>
      <c r="I84" s="62"/>
      <c r="J84" s="62"/>
      <c r="K84" s="62"/>
      <c r="L84" s="40"/>
      <c r="M84" s="62"/>
    </row>
    <row r="85" spans="1:13" s="2" customFormat="1" ht="12.75" x14ac:dyDescent="0.2">
      <c r="A85" s="62"/>
      <c r="B85" s="62"/>
      <c r="C85" s="62"/>
      <c r="D85" s="79"/>
      <c r="E85" s="80"/>
      <c r="F85" s="36"/>
      <c r="G85" s="81"/>
      <c r="H85" s="62"/>
      <c r="I85" s="62"/>
      <c r="J85" s="62"/>
      <c r="K85" s="62"/>
      <c r="L85" s="40"/>
      <c r="M85" s="62"/>
    </row>
    <row r="86" spans="1:13" s="2" customFormat="1" ht="12.75" x14ac:dyDescent="0.2">
      <c r="A86" s="62"/>
      <c r="B86" s="62"/>
      <c r="C86" s="62"/>
      <c r="D86" s="79"/>
      <c r="E86" s="80"/>
      <c r="F86" s="36"/>
      <c r="G86" s="81"/>
      <c r="H86" s="62"/>
      <c r="I86" s="62"/>
      <c r="J86" s="62"/>
      <c r="K86" s="62"/>
      <c r="L86" s="40"/>
      <c r="M86" s="62"/>
    </row>
    <row r="87" spans="1:13" s="2" customFormat="1" ht="12.75" x14ac:dyDescent="0.2"/>
    <row r="88" spans="1:13" s="2" customFormat="1" ht="12.75" x14ac:dyDescent="0.2"/>
    <row r="90" spans="1:13" s="2" customFormat="1" ht="12.75" x14ac:dyDescent="0.2">
      <c r="A90" s="82"/>
      <c r="B90" s="82"/>
      <c r="E90" s="82"/>
      <c r="F90" s="82"/>
      <c r="G90" s="82"/>
      <c r="H90" s="83"/>
      <c r="M90" s="82"/>
    </row>
    <row r="91" spans="1:13" s="2" customFormat="1" ht="12.75" x14ac:dyDescent="0.2">
      <c r="A91" s="82"/>
      <c r="B91" s="82"/>
      <c r="E91" s="82"/>
      <c r="F91" s="82"/>
      <c r="G91" s="82"/>
      <c r="H91" s="83"/>
      <c r="M91" s="82"/>
    </row>
    <row r="92" spans="1:13" s="2" customFormat="1" ht="12.75" x14ac:dyDescent="0.2">
      <c r="A92" s="84"/>
      <c r="B92" s="84"/>
    </row>
    <row r="93" spans="1:13" s="2" customFormat="1" ht="12.75" x14ac:dyDescent="0.2">
      <c r="A93" s="85"/>
      <c r="B93" s="85"/>
      <c r="E93" s="85"/>
      <c r="F93" s="84"/>
      <c r="G93" s="84"/>
      <c r="M93" s="86"/>
    </row>
    <row r="94" spans="1:13" s="2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H94"/>
  <sheetViews>
    <sheetView topLeftCell="A55" zoomScale="125" zoomScaleNormal="125" workbookViewId="0">
      <pane xSplit="2" topLeftCell="C1" activePane="topRight" state="frozen"/>
      <selection activeCell="A55" sqref="A55"/>
      <selection pane="topRight" activeCell="I3" sqref="I3"/>
    </sheetView>
  </sheetViews>
  <sheetFormatPr defaultColWidth="9.140625" defaultRowHeight="15" x14ac:dyDescent="0.25"/>
  <cols>
    <col min="1" max="2" width="15.140625" style="2" customWidth="1"/>
    <col min="3" max="3" width="29.28515625" style="2" customWidth="1"/>
    <col min="4" max="4" width="14.85546875" style="2" customWidth="1"/>
    <col min="5" max="5" width="27.42578125" style="2" customWidth="1"/>
    <col min="6" max="7" width="13.7109375" style="2" customWidth="1"/>
    <col min="8" max="8" width="16.5703125" style="2" customWidth="1"/>
    <col min="9" max="9" width="15.5703125" style="2" customWidth="1"/>
    <col min="10" max="10" width="13.42578125" customWidth="1"/>
    <col min="11" max="11" width="23.5703125" customWidth="1"/>
    <col min="12" max="12" width="13.42578125" customWidth="1"/>
    <col min="13" max="13" width="22.5703125" style="2" customWidth="1"/>
    <col min="14" max="16" width="10.85546875" style="2" customWidth="1"/>
    <col min="17" max="17" width="11.28515625" style="2" customWidth="1"/>
    <col min="18" max="1022" width="9.140625" style="2"/>
  </cols>
  <sheetData>
    <row r="1" spans="1:17" s="2" customFormat="1" ht="25.5" x14ac:dyDescent="0.2">
      <c r="A1" s="3"/>
      <c r="B1" s="3" t="s">
        <v>138</v>
      </c>
      <c r="C1" s="4">
        <v>44119</v>
      </c>
      <c r="D1" s="5"/>
      <c r="E1" s="6" t="s">
        <v>139</v>
      </c>
      <c r="F1" s="7"/>
      <c r="G1" s="8"/>
      <c r="K1" s="9" t="s">
        <v>140</v>
      </c>
      <c r="L1" s="9" t="s">
        <v>141</v>
      </c>
      <c r="M1" s="10" t="s">
        <v>142</v>
      </c>
    </row>
    <row r="2" spans="1:17" x14ac:dyDescent="0.25">
      <c r="A2" s="3"/>
      <c r="B2" s="3" t="s">
        <v>143</v>
      </c>
      <c r="C2" s="11">
        <v>8.9329999999999998</v>
      </c>
      <c r="D2" s="12"/>
      <c r="E2" s="13">
        <f>SUM(E25,E42,E52,E72,E27,E74)</f>
        <v>175310795.42164996</v>
      </c>
      <c r="F2" s="14"/>
      <c r="G2" s="15"/>
      <c r="H2" s="12"/>
      <c r="I2" s="12"/>
      <c r="J2" s="12"/>
      <c r="K2" s="13">
        <f>SUM(K25,K42,K52,K72,K27,K74)</f>
        <v>178199162.31147555</v>
      </c>
      <c r="L2" s="16">
        <f>SUM(L52,L72,L42,L25,L27,L74)</f>
        <v>0.99999999999999989</v>
      </c>
      <c r="M2" s="17">
        <f>K2/$C$6</f>
        <v>9.0801773678554945</v>
      </c>
      <c r="N2" s="18"/>
    </row>
    <row r="3" spans="1:17" ht="26.25" x14ac:dyDescent="0.25">
      <c r="A3" s="3"/>
      <c r="B3" s="3" t="s">
        <v>144</v>
      </c>
      <c r="C3" s="19">
        <v>19625075.050000001</v>
      </c>
      <c r="D3" s="20"/>
      <c r="E3" s="6" t="s">
        <v>145</v>
      </c>
      <c r="F3" s="14"/>
      <c r="G3" s="15"/>
      <c r="H3" s="12"/>
      <c r="I3" s="12"/>
      <c r="J3" s="12"/>
      <c r="K3" s="6" t="s">
        <v>145</v>
      </c>
      <c r="L3" s="12"/>
      <c r="M3" s="10" t="s">
        <v>146</v>
      </c>
      <c r="N3" s="21"/>
    </row>
    <row r="4" spans="1:17" x14ac:dyDescent="0.25">
      <c r="A4" s="3"/>
      <c r="B4" s="3" t="s">
        <v>147</v>
      </c>
      <c r="C4" s="19">
        <v>0</v>
      </c>
      <c r="D4" s="20"/>
      <c r="E4" s="13">
        <f>SUM(E25,E72,E27)</f>
        <v>34284129.774248719</v>
      </c>
      <c r="F4" s="14"/>
      <c r="G4" s="15"/>
      <c r="H4" s="12"/>
      <c r="I4" s="12"/>
      <c r="J4" s="12"/>
      <c r="K4" s="13">
        <f>SUM(K25,K27,K72)</f>
        <v>34342003.756628908</v>
      </c>
      <c r="L4" s="12"/>
      <c r="M4" s="17">
        <f>K4/$C$6</f>
        <v>1.7499043274552424</v>
      </c>
      <c r="N4" s="21"/>
    </row>
    <row r="5" spans="1:17" x14ac:dyDescent="0.25">
      <c r="A5" s="3"/>
      <c r="B5" s="3" t="s">
        <v>148</v>
      </c>
      <c r="C5" s="19">
        <v>0</v>
      </c>
      <c r="D5" s="20"/>
      <c r="E5" s="14"/>
      <c r="F5" s="14"/>
      <c r="G5" s="22">
        <f>SUM(D25,D27,D42,D52,D72,D74)</f>
        <v>1.0000000000000002</v>
      </c>
      <c r="H5" s="12"/>
      <c r="I5" s="12"/>
      <c r="J5" s="12"/>
      <c r="K5" s="12"/>
      <c r="L5" s="12"/>
      <c r="M5" s="12"/>
      <c r="N5" s="21"/>
    </row>
    <row r="6" spans="1:17" x14ac:dyDescent="0.25">
      <c r="A6" s="3"/>
      <c r="B6" s="3" t="s">
        <v>149</v>
      </c>
      <c r="C6" s="19">
        <f>C3+C4-C5</f>
        <v>19625075.050000001</v>
      </c>
      <c r="D6" s="20"/>
      <c r="E6" s="14"/>
      <c r="F6" s="14"/>
      <c r="G6" s="15"/>
      <c r="H6" s="12"/>
      <c r="I6" s="12"/>
      <c r="J6" s="12"/>
      <c r="K6" s="12"/>
      <c r="L6" s="12"/>
      <c r="M6" s="12"/>
      <c r="N6" s="21"/>
    </row>
    <row r="7" spans="1:17" x14ac:dyDescent="0.25">
      <c r="A7" s="23"/>
      <c r="B7" s="24"/>
      <c r="C7" s="24"/>
      <c r="D7" s="25"/>
      <c r="E7" s="26"/>
      <c r="F7" s="26"/>
      <c r="G7" s="26"/>
      <c r="H7" s="27"/>
      <c r="I7" s="27"/>
      <c r="J7" s="27"/>
      <c r="K7" s="12"/>
      <c r="L7" s="12"/>
      <c r="M7" s="12"/>
      <c r="N7" s="21"/>
    </row>
    <row r="8" spans="1:17" s="32" customFormat="1" ht="38.25" x14ac:dyDescent="0.2">
      <c r="A8" s="28" t="s">
        <v>150</v>
      </c>
      <c r="B8" s="28" t="s">
        <v>151</v>
      </c>
      <c r="C8" s="29" t="s">
        <v>1</v>
      </c>
      <c r="D8" s="29" t="s">
        <v>152</v>
      </c>
      <c r="E8" s="29" t="s">
        <v>153</v>
      </c>
      <c r="F8" s="29" t="s">
        <v>154</v>
      </c>
      <c r="G8" s="29" t="s">
        <v>155</v>
      </c>
      <c r="H8" s="29" t="s">
        <v>156</v>
      </c>
      <c r="I8" s="29" t="s">
        <v>157</v>
      </c>
      <c r="J8" s="29" t="s">
        <v>158</v>
      </c>
      <c r="K8" s="30" t="s">
        <v>159</v>
      </c>
      <c r="L8" s="30" t="s">
        <v>160</v>
      </c>
      <c r="M8" s="30" t="s">
        <v>161</v>
      </c>
      <c r="N8" s="31"/>
      <c r="Q8" s="33"/>
    </row>
    <row r="9" spans="1:17" s="43" customFormat="1" ht="12.75" x14ac:dyDescent="0.25">
      <c r="A9" s="34" t="s">
        <v>162</v>
      </c>
      <c r="B9" s="34" t="s">
        <v>46</v>
      </c>
      <c r="C9" s="34" t="s">
        <v>47</v>
      </c>
      <c r="D9" s="35">
        <v>1.1524E-2</v>
      </c>
      <c r="E9" s="36">
        <f>'Oct 15'!$D9*$C$6*$C$2</f>
        <v>2020281.6064390945</v>
      </c>
      <c r="F9" s="36">
        <v>552</v>
      </c>
      <c r="G9" s="37">
        <f>'Oct 15'!$E9/'Oct 15'!$F9</f>
        <v>3659.9304464476349</v>
      </c>
      <c r="H9" s="34">
        <v>3613</v>
      </c>
      <c r="I9" s="34">
        <f>ROUND(Table1389584567991011121314456267891011121314151617181920213456789101112[[#This Row],[Target Quantity]],0)</f>
        <v>3660</v>
      </c>
      <c r="J9" s="38">
        <f t="shared" ref="J9:J23" si="0">I9-H9</f>
        <v>47</v>
      </c>
      <c r="K9" s="39">
        <f>'Oct 15'!$F9*'Oct 15'!$I9</f>
        <v>2020320</v>
      </c>
      <c r="L9" s="40">
        <f>'Oct 15'!$K9/$K$2</f>
        <v>1.1337427032730203E-2</v>
      </c>
      <c r="M9" s="41"/>
      <c r="N9" s="42"/>
      <c r="O9" s="87"/>
    </row>
    <row r="10" spans="1:17" s="43" customFormat="1" ht="12.75" customHeight="1" x14ac:dyDescent="0.25">
      <c r="A10" s="34" t="s">
        <v>162</v>
      </c>
      <c r="B10" s="34" t="s">
        <v>55</v>
      </c>
      <c r="C10" s="34" t="s">
        <v>56</v>
      </c>
      <c r="D10" s="35">
        <v>1.1524E-2</v>
      </c>
      <c r="E10" s="36">
        <f>'Oct 15'!$D10*$C$6*$C$2</f>
        <v>2020281.6064390945</v>
      </c>
      <c r="F10" s="36">
        <v>448</v>
      </c>
      <c r="G10" s="37">
        <f>'Oct 15'!$E10/'Oct 15'!$F10</f>
        <v>4509.5571572301214</v>
      </c>
      <c r="H10" s="34">
        <v>4601</v>
      </c>
      <c r="I10" s="34">
        <f>ROUND(Table1389584567991011121314456267891011121314151617181920213456789101112[[#This Row],[Target Quantity]],0)</f>
        <v>4510</v>
      </c>
      <c r="J10" s="38">
        <f t="shared" si="0"/>
        <v>-91</v>
      </c>
      <c r="K10" s="39">
        <f>'Oct 15'!$F10*'Oct 15'!$I10</f>
        <v>2020480</v>
      </c>
      <c r="L10" s="40">
        <f>'Oct 15'!$K10/$K$2</f>
        <v>1.1338324904515484E-2</v>
      </c>
      <c r="M10" s="41"/>
    </row>
    <row r="11" spans="1:17" s="43" customFormat="1" ht="12.75" customHeight="1" x14ac:dyDescent="0.25">
      <c r="A11" s="34" t="s">
        <v>162</v>
      </c>
      <c r="B11" s="34" t="s">
        <v>37</v>
      </c>
      <c r="C11" s="34" t="s">
        <v>38</v>
      </c>
      <c r="D11" s="35">
        <v>1.1524E-2</v>
      </c>
      <c r="E11" s="36">
        <f>'Oct 15'!$D11*$C$6*$C$2</f>
        <v>2020281.6064390945</v>
      </c>
      <c r="F11" s="36">
        <v>79.550022196214499</v>
      </c>
      <c r="G11" s="37">
        <f>'Oct 15'!$E11/'Oct 15'!$F11</f>
        <v>25396.367601959417</v>
      </c>
      <c r="H11" s="34">
        <v>24779</v>
      </c>
      <c r="I11" s="34">
        <f>ROUND(Table1389584567991011121314456267891011121314151617181920213456789101112[[#This Row],[Target Quantity]],0)</f>
        <v>25396</v>
      </c>
      <c r="J11" s="38">
        <f t="shared" si="0"/>
        <v>617</v>
      </c>
      <c r="K11" s="39">
        <f>'Oct 15'!$F11*'Oct 15'!$I11</f>
        <v>2020252.3636950634</v>
      </c>
      <c r="L11" s="40">
        <f>'Oct 15'!$K11/$K$2</f>
        <v>1.1337047478168558E-2</v>
      </c>
      <c r="M11" s="41"/>
    </row>
    <row r="12" spans="1:17" s="44" customFormat="1" ht="12.75" customHeight="1" x14ac:dyDescent="0.25">
      <c r="A12" s="34" t="s">
        <v>162</v>
      </c>
      <c r="B12" s="34" t="s">
        <v>23</v>
      </c>
      <c r="C12" s="34" t="s">
        <v>24</v>
      </c>
      <c r="D12" s="35">
        <v>1.1524E-2</v>
      </c>
      <c r="E12" s="36">
        <f>'Oct 15'!$D12*$C$6*$C$2</f>
        <v>2020281.6064390945</v>
      </c>
      <c r="F12" s="36">
        <v>228.099976420655</v>
      </c>
      <c r="G12" s="37">
        <f>'Oct 15'!$E12/'Oct 15'!$F12</f>
        <v>8857.0005053983568</v>
      </c>
      <c r="H12" s="34">
        <v>8482</v>
      </c>
      <c r="I12" s="34">
        <f>ROUND(Table1389584567991011121314456267891011121314151617181920213456789101112[[#This Row],[Target Quantity]],0)</f>
        <v>8857</v>
      </c>
      <c r="J12" s="38">
        <f t="shared" si="0"/>
        <v>375</v>
      </c>
      <c r="K12" s="39">
        <f>'Oct 15'!$F12*'Oct 15'!$I12</f>
        <v>2020281.4911577413</v>
      </c>
      <c r="L12" s="40">
        <f>'Oct 15'!$K12/$K$2</f>
        <v>1.1337210932711778E-2</v>
      </c>
      <c r="M12" s="34"/>
    </row>
    <row r="13" spans="1:17" s="44" customFormat="1" ht="12.75" customHeight="1" x14ac:dyDescent="0.25">
      <c r="A13" s="34" t="s">
        <v>162</v>
      </c>
      <c r="B13" s="34" t="s">
        <v>60</v>
      </c>
      <c r="C13" s="34" t="s">
        <v>61</v>
      </c>
      <c r="D13" s="35">
        <v>1.1524E-2</v>
      </c>
      <c r="E13" s="36">
        <f>'Oct 15'!$D13*$C$6*$C$2</f>
        <v>2020281.6064390945</v>
      </c>
      <c r="F13" s="36">
        <v>498.98992189468402</v>
      </c>
      <c r="G13" s="37">
        <f>'Oct 15'!$E13/'Oct 15'!$F13</f>
        <v>4048.7423047904599</v>
      </c>
      <c r="H13" s="34">
        <v>3969</v>
      </c>
      <c r="I13" s="34">
        <f>ROUND(Table1389584567991011121314456267891011121314151617181920213456789101112[[#This Row],[Target Quantity]],0)</f>
        <v>4049</v>
      </c>
      <c r="J13" s="38">
        <f t="shared" si="0"/>
        <v>80</v>
      </c>
      <c r="K13" s="39">
        <f>'Oct 15'!$F13*'Oct 15'!$I13</f>
        <v>2020410.1937515757</v>
      </c>
      <c r="L13" s="40">
        <f>'Oct 15'!$K13/$K$2</f>
        <v>1.133793317288488E-2</v>
      </c>
      <c r="M13" s="34"/>
    </row>
    <row r="14" spans="1:17" s="44" customFormat="1" ht="12.75" customHeight="1" x14ac:dyDescent="0.25">
      <c r="A14" s="34" t="s">
        <v>162</v>
      </c>
      <c r="B14" s="34" t="s">
        <v>163</v>
      </c>
      <c r="C14" s="34" t="s">
        <v>164</v>
      </c>
      <c r="D14" s="35">
        <v>1.1524E-2</v>
      </c>
      <c r="E14" s="36">
        <f>'Oct 15'!$D14*$C$6*$C$2</f>
        <v>2020281.6064390945</v>
      </c>
      <c r="F14" s="36">
        <v>3295</v>
      </c>
      <c r="G14" s="37">
        <f>'Oct 15'!$E14/'Oct 15'!$F14</f>
        <v>613.13554064919413</v>
      </c>
      <c r="H14" s="34">
        <v>599</v>
      </c>
      <c r="I14" s="34">
        <f>ROUND(Table1389584567991011121314456267891011121314151617181920213456789101112[[#This Row],[Target Quantity]],0)</f>
        <v>613</v>
      </c>
      <c r="J14" s="38">
        <f t="shared" si="0"/>
        <v>14</v>
      </c>
      <c r="K14" s="39">
        <f>'Oct 15'!$F14*'Oct 15'!$I14</f>
        <v>2019835</v>
      </c>
      <c r="L14" s="40">
        <f>'Oct 15'!$K14/$K$2</f>
        <v>1.1334705358881073E-2</v>
      </c>
      <c r="M14" s="34"/>
    </row>
    <row r="15" spans="1:17" s="44" customFormat="1" ht="12.75" customHeight="1" x14ac:dyDescent="0.25">
      <c r="A15" s="34" t="s">
        <v>162</v>
      </c>
      <c r="B15" s="34" t="s">
        <v>165</v>
      </c>
      <c r="C15" s="34" t="s">
        <v>166</v>
      </c>
      <c r="D15" s="35">
        <v>1.1524E-2</v>
      </c>
      <c r="E15" s="36">
        <f>'Oct 15'!$D15*$C$6*$C$2</f>
        <v>2020281.6064390945</v>
      </c>
      <c r="F15" s="36">
        <v>288.150036101083</v>
      </c>
      <c r="G15" s="37">
        <f>'Oct 15'!$E15/'Oct 15'!$F15</f>
        <v>7011.2141361328167</v>
      </c>
      <c r="H15" s="34">
        <v>6925</v>
      </c>
      <c r="I15" s="34">
        <f>ROUND(Table1389584567991011121314456267891011121314151617181920213456789101112[[#This Row],[Target Quantity]],0)</f>
        <v>7011</v>
      </c>
      <c r="J15" s="38">
        <f t="shared" si="0"/>
        <v>86</v>
      </c>
      <c r="K15" s="39">
        <f>'Oct 15'!$F15*'Oct 15'!$I15</f>
        <v>2020219.9031046929</v>
      </c>
      <c r="L15" s="40">
        <f>'Oct 15'!$K15/$K$2</f>
        <v>1.1336865319117139E-2</v>
      </c>
      <c r="M15" s="34"/>
    </row>
    <row r="16" spans="1:17" s="44" customFormat="1" ht="12.75" customHeight="1" x14ac:dyDescent="0.25">
      <c r="A16" s="34" t="s">
        <v>162</v>
      </c>
      <c r="B16" s="34" t="s">
        <v>43</v>
      </c>
      <c r="C16" s="34" t="s">
        <v>44</v>
      </c>
      <c r="D16" s="35">
        <v>1.1524E-2</v>
      </c>
      <c r="E16" s="36">
        <f>'Oct 15'!$D16*$C$6*$C$2</f>
        <v>2020281.6064390945</v>
      </c>
      <c r="F16" s="36">
        <v>1238.7001223990201</v>
      </c>
      <c r="G16" s="37">
        <f>'Oct 15'!$E16/'Oct 15'!$F16</f>
        <v>1630.969085985369</v>
      </c>
      <c r="H16" s="34">
        <v>1634</v>
      </c>
      <c r="I16" s="34">
        <f>ROUND(Table1389584567991011121314456267891011121314151617181920213456789101112[[#This Row],[Target Quantity]],0)</f>
        <v>1631</v>
      </c>
      <c r="J16" s="38">
        <f t="shared" si="0"/>
        <v>-3</v>
      </c>
      <c r="K16" s="39">
        <f>'Oct 15'!$F16*'Oct 15'!$I16</f>
        <v>2020319.8996328018</v>
      </c>
      <c r="L16" s="40">
        <f>'Oct 15'!$K16/$K$2</f>
        <v>1.1337426469499732E-2</v>
      </c>
      <c r="M16" s="34"/>
    </row>
    <row r="17" spans="1:15" s="44" customFormat="1" ht="12.75" customHeight="1" x14ac:dyDescent="0.25">
      <c r="A17" s="34" t="s">
        <v>162</v>
      </c>
      <c r="B17" s="34" t="s">
        <v>167</v>
      </c>
      <c r="C17" s="34" t="s">
        <v>168</v>
      </c>
      <c r="D17" s="35">
        <v>1.1524E-2</v>
      </c>
      <c r="E17" s="36">
        <f>'Oct 15'!$D17*$C$6*$C$2</f>
        <v>2020281.6064390945</v>
      </c>
      <c r="F17" s="36">
        <v>174.38001014713299</v>
      </c>
      <c r="G17" s="37">
        <f>'Oct 15'!$E17/'Oct 15'!$F17</f>
        <v>11585.51146277881</v>
      </c>
      <c r="H17" s="34">
        <v>11826</v>
      </c>
      <c r="I17" s="34">
        <f>ROUND(Table1389584567991011121314456267891011121314151617181920213456789101112[[#This Row],[Target Quantity]],0)</f>
        <v>11586</v>
      </c>
      <c r="J17" s="38">
        <f t="shared" si="0"/>
        <v>-240</v>
      </c>
      <c r="K17" s="39">
        <f>'Oct 15'!$F17*'Oct 15'!$I17</f>
        <v>2020366.7975646828</v>
      </c>
      <c r="L17" s="40">
        <f>'Oct 15'!$K17/$K$2</f>
        <v>1.1337689646561131E-2</v>
      </c>
      <c r="M17" s="34"/>
    </row>
    <row r="18" spans="1:15" s="44" customFormat="1" ht="12.75" customHeight="1" x14ac:dyDescent="0.25">
      <c r="A18" s="34" t="s">
        <v>162</v>
      </c>
      <c r="B18" s="34" t="s">
        <v>28</v>
      </c>
      <c r="C18" s="34" t="s">
        <v>29</v>
      </c>
      <c r="D18" s="35">
        <v>1.1524E-2</v>
      </c>
      <c r="E18" s="36">
        <f>'Oct 15'!$D18*$C$6*$C$2</f>
        <v>2020281.6064390945</v>
      </c>
      <c r="F18" s="36">
        <v>274</v>
      </c>
      <c r="G18" s="37">
        <f>'Oct 15'!$E18/'Oct 15'!$F18</f>
        <v>7373.2905344492501</v>
      </c>
      <c r="H18" s="34">
        <v>7569</v>
      </c>
      <c r="I18" s="34">
        <f>ROUND(Table1389584567991011121314456267891011121314151617181920213456789101112[[#This Row],[Target Quantity]],0)</f>
        <v>7373</v>
      </c>
      <c r="J18" s="38">
        <f t="shared" si="0"/>
        <v>-196</v>
      </c>
      <c r="K18" s="39">
        <f>'Oct 15'!$F18*'Oct 15'!$I18</f>
        <v>2020202</v>
      </c>
      <c r="L18" s="40">
        <f>'Oct 15'!$K18/$K$2</f>
        <v>1.1336764852288558E-2</v>
      </c>
      <c r="M18" s="34"/>
    </row>
    <row r="19" spans="1:15" s="44" customFormat="1" ht="12.75" customHeight="1" x14ac:dyDescent="0.25">
      <c r="A19" s="34" t="s">
        <v>162</v>
      </c>
      <c r="B19" s="34" t="s">
        <v>173</v>
      </c>
      <c r="C19" s="34" t="s">
        <v>174</v>
      </c>
      <c r="D19" s="35">
        <v>1.1524E-2</v>
      </c>
      <c r="E19" s="36">
        <f>'Oct 15'!$D19*$C$6*$C$2</f>
        <v>2020281.6064390945</v>
      </c>
      <c r="F19" s="36">
        <v>81.879980202920095</v>
      </c>
      <c r="G19" s="37">
        <f>'Oct 15'!$E19/'Oct 15'!$F19</f>
        <v>24673.694368663819</v>
      </c>
      <c r="H19" s="34">
        <v>24246</v>
      </c>
      <c r="I19" s="34">
        <f>ROUND(Table1389584567991011121314456267891011121314151617181920213456789101112[[#This Row],[Target Quantity]],0)</f>
        <v>24674</v>
      </c>
      <c r="J19" s="38">
        <f t="shared" si="0"/>
        <v>428</v>
      </c>
      <c r="K19" s="39">
        <f>'Oct 15'!$F19*'Oct 15'!$I19</f>
        <v>2020306.6315268504</v>
      </c>
      <c r="L19" s="40">
        <f>'Oct 15'!$K19/$K$2</f>
        <v>1.133735201288737E-2</v>
      </c>
      <c r="M19" s="34"/>
    </row>
    <row r="20" spans="1:15" s="44" customFormat="1" ht="12.75" customHeight="1" x14ac:dyDescent="0.25">
      <c r="A20" s="34" t="s">
        <v>162</v>
      </c>
      <c r="B20" s="34" t="s">
        <v>19</v>
      </c>
      <c r="C20" s="34" t="s">
        <v>20</v>
      </c>
      <c r="D20" s="35">
        <v>1.1524E-2</v>
      </c>
      <c r="E20" s="36">
        <f>'Oct 15'!$D20*$C$6*$C$2</f>
        <v>2020281.6064390945</v>
      </c>
      <c r="F20" s="36">
        <v>1321.3699680511199</v>
      </c>
      <c r="G20" s="37">
        <f>'Oct 15'!$E20/'Oct 15'!$F20</f>
        <v>1528.9295619596946</v>
      </c>
      <c r="H20" s="34">
        <v>1565</v>
      </c>
      <c r="I20" s="34">
        <f>ROUND(Table1389584567991011121314456267891011121314151617181920213456789101112[[#This Row],[Target Quantity]],0)</f>
        <v>1529</v>
      </c>
      <c r="J20" s="38">
        <f t="shared" si="0"/>
        <v>-36</v>
      </c>
      <c r="K20" s="39">
        <f>'Oct 15'!$F20*'Oct 15'!$I20</f>
        <v>2020374.6811501624</v>
      </c>
      <c r="L20" s="40">
        <f>'Oct 15'!$K20/$K$2</f>
        <v>1.1337733886867186E-2</v>
      </c>
      <c r="M20" s="34"/>
    </row>
    <row r="21" spans="1:15" s="44" customFormat="1" ht="12.75" customHeight="1" x14ac:dyDescent="0.25">
      <c r="A21" s="34" t="s">
        <v>162</v>
      </c>
      <c r="B21" s="34" t="s">
        <v>25</v>
      </c>
      <c r="C21" s="34" t="s">
        <v>26</v>
      </c>
      <c r="D21" s="35">
        <v>5.7619999999999998E-3</v>
      </c>
      <c r="E21" s="36">
        <f>'Oct 15'!$D21*$C$6*$C$2</f>
        <v>1010140.8032195473</v>
      </c>
      <c r="F21" s="36">
        <v>16.640001297584899</v>
      </c>
      <c r="G21" s="37">
        <f>'Oct 15'!$E21/'Oct 15'!$F21</f>
        <v>60705.572382747188</v>
      </c>
      <c r="H21" s="34">
        <v>61653</v>
      </c>
      <c r="I21" s="34">
        <f>ROUND(Table1389584567991011121314456267891011121314151617181920213456789101112[[#This Row],[Target Quantity]],0)</f>
        <v>60706</v>
      </c>
      <c r="J21" s="38">
        <f t="shared" si="0"/>
        <v>-947</v>
      </c>
      <c r="K21" s="39">
        <f>'Oct 15'!$F21*'Oct 15'!$I21</f>
        <v>1010147.9187711888</v>
      </c>
      <c r="L21" s="40">
        <f>'Oct 15'!$K21/$K$2</f>
        <v>5.6686457201495944E-3</v>
      </c>
      <c r="M21" s="34"/>
    </row>
    <row r="22" spans="1:15" s="44" customFormat="1" ht="12.75" customHeight="1" x14ac:dyDescent="0.25">
      <c r="A22" s="34" t="s">
        <v>162</v>
      </c>
      <c r="B22" s="34" t="s">
        <v>209</v>
      </c>
      <c r="C22" s="34" t="s">
        <v>210</v>
      </c>
      <c r="D22" s="35">
        <v>5.7619999999999998E-3</v>
      </c>
      <c r="E22" s="36">
        <f>'Oct 15'!$D22*$C$6*$C$2</f>
        <v>1010140.8032195473</v>
      </c>
      <c r="F22" s="36">
        <v>188.130011240165</v>
      </c>
      <c r="G22" s="37">
        <f>'Oct 15'!$E22/'Oct 15'!$F22</f>
        <v>5369.3761912872633</v>
      </c>
      <c r="H22" s="34">
        <v>5338</v>
      </c>
      <c r="I22" s="34">
        <f>ROUND(Table1389584567991011121314456267891011121314151617181920213456789101112[[#This Row],[Target Quantity]],0)</f>
        <v>5369</v>
      </c>
      <c r="J22" s="38">
        <f t="shared" si="0"/>
        <v>31</v>
      </c>
      <c r="K22" s="39">
        <f>'Oct 15'!$F22*'Oct 15'!$I22</f>
        <v>1010070.0303484459</v>
      </c>
      <c r="L22" s="40">
        <f>'Oct 15'!$K22/$K$2</f>
        <v>5.6682086337922141E-3</v>
      </c>
      <c r="M22" s="34"/>
    </row>
    <row r="23" spans="1:15" s="44" customFormat="1" ht="12.75" customHeight="1" x14ac:dyDescent="0.25">
      <c r="A23" s="34" t="s">
        <v>162</v>
      </c>
      <c r="B23" s="34" t="s">
        <v>211</v>
      </c>
      <c r="C23" s="34" t="s">
        <v>212</v>
      </c>
      <c r="D23" s="35">
        <v>1.1524E-2</v>
      </c>
      <c r="E23" s="36">
        <f>'Oct 15'!$D23*$C$6*$C$2</f>
        <v>2020281.6064390945</v>
      </c>
      <c r="F23" s="36">
        <v>118.44001139925901</v>
      </c>
      <c r="G23" s="37">
        <f>'Oct 15'!$E23/'Oct 15'!$F23</f>
        <v>17057.424957759958</v>
      </c>
      <c r="H23" s="34">
        <v>17545</v>
      </c>
      <c r="I23" s="34">
        <f>ROUND(Table1389584567991011121314456267891011121314151617181920213456789101112[[#This Row],[Target Quantity]],0)</f>
        <v>17057</v>
      </c>
      <c r="J23" s="38">
        <f t="shared" si="0"/>
        <v>-488</v>
      </c>
      <c r="K23" s="39">
        <f>'Oct 15'!$F23*'Oct 15'!$I23</f>
        <v>2020231.2744371609</v>
      </c>
      <c r="L23" s="40">
        <f>'Oct 15'!$K23/$K$2</f>
        <v>1.1336929131608289E-2</v>
      </c>
      <c r="M23" s="34"/>
    </row>
    <row r="24" spans="1:15" s="44" customFormat="1" ht="12.75" customHeight="1" x14ac:dyDescent="0.25">
      <c r="A24" s="34"/>
      <c r="B24" s="34"/>
      <c r="C24" s="34"/>
      <c r="D24" s="35"/>
      <c r="E24" s="36"/>
      <c r="F24" s="36"/>
      <c r="G24" s="37"/>
      <c r="H24" s="34"/>
      <c r="I24" s="34"/>
      <c r="J24" s="45"/>
      <c r="K24" s="36"/>
      <c r="L24" s="46"/>
      <c r="M24" s="34"/>
    </row>
    <row r="25" spans="1:15" s="53" customFormat="1" ht="12.75" customHeight="1" x14ac:dyDescent="0.25">
      <c r="A25" s="47" t="s">
        <v>175</v>
      </c>
      <c r="B25" s="47"/>
      <c r="C25" s="47"/>
      <c r="D25" s="48">
        <f>SUM(D9:D24)</f>
        <v>0.16133600000000001</v>
      </c>
      <c r="E25" s="49">
        <f>'Oct 15'!$D25*$C$6*$C$2</f>
        <v>28283942.490147326</v>
      </c>
      <c r="F25" s="50"/>
      <c r="G25" s="50"/>
      <c r="H25" s="47"/>
      <c r="I25" s="47"/>
      <c r="J25" s="51"/>
      <c r="K25" s="49">
        <f>SUM(K9:K24)</f>
        <v>28283818.185140364</v>
      </c>
      <c r="L25" s="52">
        <f>'Oct 15'!$K25/$K$2</f>
        <v>0.15872026455266317</v>
      </c>
      <c r="M25" s="47"/>
    </row>
    <row r="26" spans="1:15" s="44" customFormat="1" ht="12.75" customHeight="1" x14ac:dyDescent="0.25">
      <c r="A26" s="34"/>
      <c r="B26" s="34"/>
      <c r="C26" s="34"/>
      <c r="D26" s="35"/>
      <c r="E26" s="36"/>
      <c r="F26" s="36"/>
      <c r="G26" s="37"/>
      <c r="H26" s="34"/>
      <c r="I26" s="34"/>
      <c r="J26" s="45"/>
      <c r="K26" s="36"/>
      <c r="L26" s="40"/>
      <c r="M26" s="34"/>
    </row>
    <row r="27" spans="1:15" s="43" customFormat="1" ht="12.75" customHeight="1" x14ac:dyDescent="0.25">
      <c r="A27" s="54"/>
      <c r="B27" s="47" t="s">
        <v>34</v>
      </c>
      <c r="C27" s="54" t="s">
        <v>35</v>
      </c>
      <c r="D27" s="55">
        <v>2.4445999999999999E-2</v>
      </c>
      <c r="E27" s="56">
        <f>'Oct 15'!$D27*$C$6*$C$2</f>
        <v>4285647.704877656</v>
      </c>
      <c r="F27" s="50">
        <v>18.089999753019299</v>
      </c>
      <c r="G27" s="57">
        <f>'Oct 15'!$E27/'Oct 15'!$F27</f>
        <v>236907.00737363819</v>
      </c>
      <c r="H27" s="54">
        <v>242934</v>
      </c>
      <c r="I27" s="54">
        <f>ROUND(Table1389584567991011121314456267891011121314151617181920213456789101112[[#This Row],[Target Quantity]],0)</f>
        <v>236907</v>
      </c>
      <c r="J27" s="58">
        <f>I27-H27</f>
        <v>-6027</v>
      </c>
      <c r="K27" s="59">
        <f>'Oct 15'!$F27*'Oct 15'!$I27</f>
        <v>4285647.5714885434</v>
      </c>
      <c r="L27" s="52">
        <f>'Oct 15'!$K27/$K$2</f>
        <v>2.4049762725582461E-2</v>
      </c>
      <c r="M27" s="47"/>
      <c r="O27" s="42"/>
    </row>
    <row r="28" spans="1:15" s="43" customFormat="1" ht="12.75" customHeight="1" x14ac:dyDescent="0.25">
      <c r="A28" s="34"/>
      <c r="B28" s="34"/>
      <c r="C28" s="34"/>
      <c r="D28" s="35"/>
      <c r="E28" s="36"/>
      <c r="F28" s="36"/>
      <c r="G28" s="37"/>
      <c r="H28" s="34"/>
      <c r="I28" s="34"/>
      <c r="J28" s="45"/>
      <c r="K28" s="39"/>
      <c r="L28" s="40"/>
      <c r="M28" s="34"/>
      <c r="O28" s="42"/>
    </row>
    <row r="29" spans="1:15" s="2" customFormat="1" ht="25.5" x14ac:dyDescent="0.2">
      <c r="A29" s="34" t="s">
        <v>176</v>
      </c>
      <c r="B29" s="60" t="s">
        <v>109</v>
      </c>
      <c r="C29" s="61" t="s">
        <v>110</v>
      </c>
      <c r="D29" s="35">
        <v>2.4445999999999999E-2</v>
      </c>
      <c r="E29" s="36">
        <f>'Oct 15'!$D29*$C$6*$C$2</f>
        <v>4285647.704877656</v>
      </c>
      <c r="F29" s="36">
        <v>159634.535714286</v>
      </c>
      <c r="G29" s="37">
        <f>'Oct 15'!$E29/'Oct 15'!$F29</f>
        <v>26.846619910293793</v>
      </c>
      <c r="H29" s="34">
        <v>28</v>
      </c>
      <c r="I29" s="34">
        <v>27</v>
      </c>
      <c r="J29" s="38">
        <f t="shared" ref="J29:J40" si="1">I29-H29</f>
        <v>-1</v>
      </c>
      <c r="K29" s="39">
        <f>'Oct 15'!$F29*'Oct 15'!$I29</f>
        <v>4310132.464285722</v>
      </c>
      <c r="L29" s="40">
        <f>'Oct 15'!$K29/$K$2</f>
        <v>2.4187164565633659E-2</v>
      </c>
      <c r="M29" s="62"/>
    </row>
    <row r="30" spans="1:15" s="2" customFormat="1" ht="25.5" x14ac:dyDescent="0.2">
      <c r="A30" s="34" t="s">
        <v>176</v>
      </c>
      <c r="B30" s="60" t="s">
        <v>115</v>
      </c>
      <c r="C30" s="61" t="s">
        <v>116</v>
      </c>
      <c r="D30" s="35">
        <v>2.4445999999999999E-2</v>
      </c>
      <c r="E30" s="36">
        <f>'Oct 15'!$D30*$C$6*$C$2</f>
        <v>4285647.704877656</v>
      </c>
      <c r="F30" s="36">
        <v>221574.5</v>
      </c>
      <c r="G30" s="37">
        <f>'Oct 15'!$E30/'Oct 15'!$F30</f>
        <v>19.341791157726433</v>
      </c>
      <c r="H30" s="34">
        <v>20</v>
      </c>
      <c r="I30" s="34">
        <v>19</v>
      </c>
      <c r="J30" s="38">
        <f t="shared" si="1"/>
        <v>-1</v>
      </c>
      <c r="K30" s="39">
        <f>'Oct 15'!$F30*'Oct 15'!$I30</f>
        <v>4209915.5</v>
      </c>
      <c r="L30" s="40">
        <f>'Oct 15'!$K30/$K$2</f>
        <v>2.3624777161642654E-2</v>
      </c>
      <c r="M30" s="62"/>
    </row>
    <row r="31" spans="1:15" s="2" customFormat="1" ht="25.5" x14ac:dyDescent="0.2">
      <c r="A31" s="34" t="s">
        <v>176</v>
      </c>
      <c r="B31" s="60" t="s">
        <v>121</v>
      </c>
      <c r="C31" s="61" t="s">
        <v>122</v>
      </c>
      <c r="D31" s="35">
        <v>2.4445999999999999E-2</v>
      </c>
      <c r="E31" s="36">
        <f>'Oct 15'!$D31*$C$6*$C$2</f>
        <v>4285647.704877656</v>
      </c>
      <c r="F31" s="36">
        <v>176081.36</v>
      </c>
      <c r="G31" s="37">
        <f>'Oct 15'!$E31/'Oct 15'!$F31</f>
        <v>24.339019785385894</v>
      </c>
      <c r="H31" s="34">
        <v>25</v>
      </c>
      <c r="I31" s="34">
        <v>24</v>
      </c>
      <c r="J31" s="38">
        <f t="shared" si="1"/>
        <v>-1</v>
      </c>
      <c r="K31" s="39">
        <f>'Oct 15'!$F31*'Oct 15'!$I31</f>
        <v>4225952.6399999997</v>
      </c>
      <c r="L31" s="40">
        <f>'Oct 15'!$K31/$K$2</f>
        <v>2.3714772758658808E-2</v>
      </c>
      <c r="M31" s="62"/>
    </row>
    <row r="32" spans="1:15" s="2" customFormat="1" ht="25.5" x14ac:dyDescent="0.2">
      <c r="A32" s="34" t="s">
        <v>176</v>
      </c>
      <c r="B32" s="60" t="s">
        <v>124</v>
      </c>
      <c r="C32" s="61" t="s">
        <v>125</v>
      </c>
      <c r="D32" s="35">
        <v>2.4445999999999999E-2</v>
      </c>
      <c r="E32" s="36">
        <f>'Oct 15'!$D32*$C$6*$C$2</f>
        <v>4285647.704877656</v>
      </c>
      <c r="F32" s="36">
        <v>125932.714285714</v>
      </c>
      <c r="G32" s="37">
        <f>'Oct 15'!$E32/'Oct 15'!$F32</f>
        <v>34.031250173441443</v>
      </c>
      <c r="H32" s="34">
        <v>35</v>
      </c>
      <c r="I32" s="34">
        <v>34</v>
      </c>
      <c r="J32" s="38">
        <f t="shared" si="1"/>
        <v>-1</v>
      </c>
      <c r="K32" s="39">
        <f>'Oct 15'!$F32*'Oct 15'!$I32</f>
        <v>4281712.2857142761</v>
      </c>
      <c r="L32" s="40">
        <f>'Oct 15'!$K32/$K$2</f>
        <v>2.4027679087684158E-2</v>
      </c>
      <c r="M32" s="62"/>
    </row>
    <row r="33" spans="1:15" s="2" customFormat="1" ht="25.5" x14ac:dyDescent="0.2">
      <c r="A33" s="34" t="s">
        <v>176</v>
      </c>
      <c r="B33" s="60" t="s">
        <v>127</v>
      </c>
      <c r="C33" s="61" t="s">
        <v>128</v>
      </c>
      <c r="D33" s="35">
        <v>2.4445999999999999E-2</v>
      </c>
      <c r="E33" s="36">
        <f>'Oct 15'!$D33*$C$6*$C$2</f>
        <v>4285647.704877656</v>
      </c>
      <c r="F33" s="36">
        <v>139375</v>
      </c>
      <c r="G33" s="37">
        <f>'Oct 15'!$E33/'Oct 15'!$F33</f>
        <v>30.749041828718607</v>
      </c>
      <c r="H33" s="34">
        <v>32</v>
      </c>
      <c r="I33" s="34">
        <v>31</v>
      </c>
      <c r="J33" s="38">
        <f t="shared" si="1"/>
        <v>-1</v>
      </c>
      <c r="K33" s="39">
        <f>'Oct 15'!$F33*'Oct 15'!$I33</f>
        <v>4320625</v>
      </c>
      <c r="L33" s="40">
        <f>'Oct 15'!$K33/$K$2</f>
        <v>2.4246045514220486E-2</v>
      </c>
      <c r="M33" s="62"/>
    </row>
    <row r="34" spans="1:15" s="2" customFormat="1" ht="25.5" x14ac:dyDescent="0.2">
      <c r="A34" s="34" t="s">
        <v>176</v>
      </c>
      <c r="B34" s="60" t="s">
        <v>135</v>
      </c>
      <c r="C34" s="61" t="s">
        <v>136</v>
      </c>
      <c r="D34" s="35">
        <v>2.4445999999999999E-2</v>
      </c>
      <c r="E34" s="36">
        <f>'Oct 15'!$D34*$C$6*$C$2</f>
        <v>4285647.704877656</v>
      </c>
      <c r="F34" s="36">
        <v>220885.85</v>
      </c>
      <c r="G34" s="37">
        <f>'Oct 15'!$E34/'Oct 15'!$F34</f>
        <v>19.402092550870307</v>
      </c>
      <c r="H34" s="34">
        <v>20</v>
      </c>
      <c r="I34" s="34">
        <v>20</v>
      </c>
      <c r="J34" s="38">
        <f t="shared" si="1"/>
        <v>0</v>
      </c>
      <c r="K34" s="39">
        <f>'Oct 15'!$F34*'Oct 15'!$I34</f>
        <v>4417717</v>
      </c>
      <c r="L34" s="40">
        <f>'Oct 15'!$K34/$K$2</f>
        <v>2.4790896560323007E-2</v>
      </c>
      <c r="M34" s="62"/>
    </row>
    <row r="35" spans="1:15" s="43" customFormat="1" ht="25.5" customHeight="1" x14ac:dyDescent="0.25">
      <c r="A35" s="34" t="s">
        <v>177</v>
      </c>
      <c r="B35" s="34" t="s">
        <v>178</v>
      </c>
      <c r="C35" s="34" t="s">
        <v>179</v>
      </c>
      <c r="D35" s="35">
        <v>2.4445999999999999E-2</v>
      </c>
      <c r="E35" s="36">
        <f>'Oct 15'!$D35*$C$6*$C$2</f>
        <v>4285647.704877656</v>
      </c>
      <c r="F35" s="36">
        <v>97921.266666666706</v>
      </c>
      <c r="G35" s="37">
        <f>'Oct 15'!$E35/'Oct 15'!$F35</f>
        <v>43.766260902919157</v>
      </c>
      <c r="H35" s="34">
        <v>45</v>
      </c>
      <c r="I35" s="34">
        <v>44</v>
      </c>
      <c r="J35" s="38">
        <f t="shared" si="1"/>
        <v>-1</v>
      </c>
      <c r="K35" s="39">
        <f>'Oct 15'!$F35*'Oct 15'!$I35</f>
        <v>4308535.7333333353</v>
      </c>
      <c r="L35" s="40">
        <f>'Oct 15'!$K35/$K$2</f>
        <v>2.4178204192690962E-2</v>
      </c>
      <c r="M35" s="41"/>
      <c r="O35" s="42"/>
    </row>
    <row r="36" spans="1:15" s="43" customFormat="1" ht="25.5" customHeight="1" x14ac:dyDescent="0.25">
      <c r="A36" s="34" t="s">
        <v>177</v>
      </c>
      <c r="B36" s="34" t="s">
        <v>76</v>
      </c>
      <c r="C36" s="34" t="s">
        <v>77</v>
      </c>
      <c r="D36" s="35">
        <v>2.4445999999999999E-2</v>
      </c>
      <c r="E36" s="36">
        <f>'Oct 15'!$D36*$C$6*$C$2</f>
        <v>4285647.704877656</v>
      </c>
      <c r="F36" s="36">
        <v>115513.57894736801</v>
      </c>
      <c r="G36" s="37">
        <f>'Oct 15'!$E36/'Oct 15'!$F36</f>
        <v>37.100813115922463</v>
      </c>
      <c r="H36" s="34">
        <v>38</v>
      </c>
      <c r="I36" s="34">
        <v>37</v>
      </c>
      <c r="J36" s="38">
        <f t="shared" si="1"/>
        <v>-1</v>
      </c>
      <c r="K36" s="39">
        <f>'Oct 15'!$F36*'Oct 15'!$I36</f>
        <v>4274002.4210526161</v>
      </c>
      <c r="L36" s="40">
        <f>'Oct 15'!$K36/$K$2</f>
        <v>2.3984413650508962E-2</v>
      </c>
      <c r="M36" s="41"/>
    </row>
    <row r="37" spans="1:15" s="43" customFormat="1" ht="25.5" customHeight="1" x14ac:dyDescent="0.25">
      <c r="A37" s="34" t="s">
        <v>177</v>
      </c>
      <c r="B37" s="34" t="s">
        <v>180</v>
      </c>
      <c r="C37" s="34" t="s">
        <v>181</v>
      </c>
      <c r="D37" s="35">
        <v>2.4445999999999999E-2</v>
      </c>
      <c r="E37" s="36">
        <f>'Oct 15'!$D37*$C$6*$C$2</f>
        <v>4285647.704877656</v>
      </c>
      <c r="F37" s="36">
        <v>115990.26315789499</v>
      </c>
      <c r="G37" s="37">
        <f>'Oct 15'!$E37/'Oct 15'!$F37</f>
        <v>36.948340215796371</v>
      </c>
      <c r="H37" s="34">
        <v>38</v>
      </c>
      <c r="I37" s="34">
        <v>37</v>
      </c>
      <c r="J37" s="38">
        <f t="shared" si="1"/>
        <v>-1</v>
      </c>
      <c r="K37" s="39">
        <f>'Oct 15'!$F37*'Oct 15'!$I37</f>
        <v>4291639.7368421145</v>
      </c>
      <c r="L37" s="40">
        <f>'Oct 15'!$K37/$K$2</f>
        <v>2.4083388951855609E-2</v>
      </c>
      <c r="M37" s="41"/>
    </row>
    <row r="38" spans="1:15" s="43" customFormat="1" ht="25.5" x14ac:dyDescent="0.25">
      <c r="A38" s="34" t="s">
        <v>177</v>
      </c>
      <c r="B38" s="34" t="s">
        <v>71</v>
      </c>
      <c r="C38" s="34" t="s">
        <v>72</v>
      </c>
      <c r="D38" s="35">
        <v>2.4445999999999999E-2</v>
      </c>
      <c r="E38" s="36">
        <f>'Oct 15'!$D38*$C$6*$C$2</f>
        <v>4285647.704877656</v>
      </c>
      <c r="F38" s="36">
        <v>133086.69696969699</v>
      </c>
      <c r="G38" s="37">
        <f>'Oct 15'!$E38/'Oct 15'!$F38</f>
        <v>32.20192402741403</v>
      </c>
      <c r="H38" s="34">
        <v>33</v>
      </c>
      <c r="I38" s="34">
        <v>32</v>
      </c>
      <c r="J38" s="38">
        <f t="shared" si="1"/>
        <v>-1</v>
      </c>
      <c r="K38" s="39">
        <f>'Oct 15'!$F38*'Oct 15'!$I38</f>
        <v>4258774.3030303037</v>
      </c>
      <c r="L38" s="40">
        <f>'Oct 15'!$K38/$K$2</f>
        <v>2.3898958041039288E-2</v>
      </c>
      <c r="M38" s="41"/>
    </row>
    <row r="39" spans="1:15" s="43" customFormat="1" ht="25.5" x14ac:dyDescent="0.25">
      <c r="A39" s="34" t="s">
        <v>177</v>
      </c>
      <c r="B39" s="34" t="s">
        <v>67</v>
      </c>
      <c r="C39" s="34" t="s">
        <v>68</v>
      </c>
      <c r="D39" s="35">
        <v>2.4445999999999999E-2</v>
      </c>
      <c r="E39" s="36">
        <f>'Oct 15'!$D39*$C$6*$C$2</f>
        <v>4285647.704877656</v>
      </c>
      <c r="F39" s="36">
        <v>175616.96</v>
      </c>
      <c r="G39" s="37">
        <f>'Oct 15'!$E39/'Oct 15'!$F39</f>
        <v>24.403381682940282</v>
      </c>
      <c r="H39" s="34">
        <v>25</v>
      </c>
      <c r="I39" s="34">
        <v>25</v>
      </c>
      <c r="J39" s="38">
        <f t="shared" si="1"/>
        <v>0</v>
      </c>
      <c r="K39" s="39">
        <f>'Oct 15'!$F39*'Oct 15'!$I39</f>
        <v>4390424</v>
      </c>
      <c r="L39" s="40">
        <f>'Oct 15'!$K39/$K$2</f>
        <v>2.4637736468850216E-2</v>
      </c>
      <c r="M39" s="41"/>
    </row>
    <row r="40" spans="1:15" s="43" customFormat="1" ht="25.5" x14ac:dyDescent="0.25">
      <c r="A40" s="34" t="s">
        <v>177</v>
      </c>
      <c r="B40" s="34" t="s">
        <v>80</v>
      </c>
      <c r="C40" s="34" t="s">
        <v>81</v>
      </c>
      <c r="D40" s="35">
        <v>2.4445999999999999E-2</v>
      </c>
      <c r="E40" s="36">
        <f>'Oct 15'!$D40*$C$6*$C$2</f>
        <v>4285647.704877656</v>
      </c>
      <c r="F40" s="36">
        <v>267453.52941176499</v>
      </c>
      <c r="G40" s="37">
        <f>'Oct 15'!$E40/'Oct 15'!$F40</f>
        <v>16.023896615997078</v>
      </c>
      <c r="H40" s="34">
        <v>17</v>
      </c>
      <c r="I40" s="34">
        <v>16</v>
      </c>
      <c r="J40" s="38">
        <f t="shared" si="1"/>
        <v>-1</v>
      </c>
      <c r="K40" s="39">
        <f>'Oct 15'!$F40*'Oct 15'!$I40</f>
        <v>4279256.4705882398</v>
      </c>
      <c r="L40" s="40">
        <f>'Oct 15'!$K40/$K$2</f>
        <v>2.4013897793237086E-2</v>
      </c>
      <c r="M40" s="41"/>
    </row>
    <row r="41" spans="1:15" s="64" customFormat="1" ht="12.75" x14ac:dyDescent="0.2">
      <c r="A41" s="34"/>
      <c r="B41" s="61"/>
      <c r="C41" s="61"/>
      <c r="D41" s="35"/>
      <c r="E41" s="63"/>
      <c r="F41" s="36"/>
      <c r="G41" s="37"/>
      <c r="H41" s="34"/>
      <c r="I41" s="34"/>
      <c r="J41" s="45"/>
      <c r="K41" s="36"/>
      <c r="L41" s="46"/>
      <c r="M41" s="62"/>
    </row>
    <row r="42" spans="1:15" s="15" customFormat="1" ht="12.75" x14ac:dyDescent="0.2">
      <c r="A42" s="47" t="s">
        <v>182</v>
      </c>
      <c r="B42" s="65"/>
      <c r="C42" s="65"/>
      <c r="D42" s="55">
        <f>SUBTOTAL(9,D29:D41)</f>
        <v>0.293352</v>
      </c>
      <c r="E42" s="66">
        <f>'Oct 15'!$D42*$C$6*$C$2</f>
        <v>51427772.458531871</v>
      </c>
      <c r="F42" s="67"/>
      <c r="G42" s="68"/>
      <c r="H42" s="54"/>
      <c r="I42" s="54"/>
      <c r="J42" s="58"/>
      <c r="K42" s="66">
        <f>SUM(K29:K41)</f>
        <v>51568687.554846607</v>
      </c>
      <c r="L42" s="69">
        <f>'Oct 15'!$K42/$K$2</f>
        <v>0.28938793474634489</v>
      </c>
      <c r="M42" s="70"/>
    </row>
    <row r="43" spans="1:15" s="64" customFormat="1" ht="12.75" x14ac:dyDescent="0.2">
      <c r="A43" s="34"/>
      <c r="B43" s="61"/>
      <c r="C43" s="61"/>
      <c r="D43" s="35"/>
      <c r="E43" s="63"/>
      <c r="F43" s="36"/>
      <c r="G43" s="37"/>
      <c r="H43" s="34"/>
      <c r="I43" s="34"/>
      <c r="J43" s="45"/>
      <c r="K43" s="36"/>
      <c r="L43" s="40"/>
      <c r="M43" s="62"/>
    </row>
    <row r="44" spans="1:15" s="2" customFormat="1" ht="24.75" customHeight="1" x14ac:dyDescent="0.2">
      <c r="A44" s="34" t="s">
        <v>176</v>
      </c>
      <c r="B44" s="61" t="s">
        <v>183</v>
      </c>
      <c r="C44" s="61" t="s">
        <v>131</v>
      </c>
      <c r="D44" s="35">
        <v>7.1429000000000006E-2</v>
      </c>
      <c r="E44" s="36">
        <f>'Oct 15'!$D44*$C$6*$C$2</f>
        <v>12522274.80617304</v>
      </c>
      <c r="F44" s="36">
        <v>416332.03225806501</v>
      </c>
      <c r="G44" s="37">
        <f>'Oct 15'!$E44/'Oct 15'!$F44</f>
        <v>30.077615547033044</v>
      </c>
      <c r="H44" s="34">
        <v>31</v>
      </c>
      <c r="I44" s="34">
        <v>31</v>
      </c>
      <c r="J44" s="38">
        <f t="shared" ref="J44:J50" si="2">I44-H44</f>
        <v>0</v>
      </c>
      <c r="K44" s="39">
        <f>'Oct 15'!$F44*'Oct 15'!$I44</f>
        <v>12906293.000000015</v>
      </c>
      <c r="L44" s="40">
        <f>'Oct 15'!$K44/$K$2</f>
        <v>7.2426227107852598E-2</v>
      </c>
      <c r="M44" s="62"/>
    </row>
    <row r="45" spans="1:15" s="43" customFormat="1" ht="25.5" x14ac:dyDescent="0.25">
      <c r="A45" s="34" t="s">
        <v>177</v>
      </c>
      <c r="B45" s="34" t="s">
        <v>82</v>
      </c>
      <c r="C45" s="34" t="s">
        <v>83</v>
      </c>
      <c r="D45" s="35">
        <v>7.1429000000000006E-2</v>
      </c>
      <c r="E45" s="36">
        <f>'Oct 15'!$D45*$C$6*$C$2</f>
        <v>12522274.80617304</v>
      </c>
      <c r="F45" s="36">
        <v>249393.75</v>
      </c>
      <c r="G45" s="37">
        <f>'Oct 15'!$E45/'Oct 15'!$F45</f>
        <v>50.210860561553929</v>
      </c>
      <c r="H45" s="34">
        <v>52</v>
      </c>
      <c r="I45" s="34">
        <v>52</v>
      </c>
      <c r="J45" s="38">
        <f t="shared" si="2"/>
        <v>0</v>
      </c>
      <c r="K45" s="39">
        <f>'Oct 15'!$F45*'Oct 15'!$I45</f>
        <v>12968475</v>
      </c>
      <c r="L45" s="40">
        <f>'Oct 15'!$K45/$K$2</f>
        <v>7.2775173753804254E-2</v>
      </c>
      <c r="M45" s="41"/>
    </row>
    <row r="46" spans="1:15" s="43" customFormat="1" ht="25.5" x14ac:dyDescent="0.25">
      <c r="A46" s="34" t="s">
        <v>177</v>
      </c>
      <c r="B46" s="34" t="s">
        <v>184</v>
      </c>
      <c r="C46" s="34" t="s">
        <v>105</v>
      </c>
      <c r="D46" s="35">
        <v>7.1429000000000006E-2</v>
      </c>
      <c r="E46" s="36">
        <f>'Oct 15'!$D46*$C$6*$C$2</f>
        <v>12522274.80617304</v>
      </c>
      <c r="F46" s="36">
        <v>416340.06451612897</v>
      </c>
      <c r="G46" s="37">
        <f>'Oct 15'!$E46/'Oct 15'!$F46</f>
        <v>30.077035273380297</v>
      </c>
      <c r="H46" s="34">
        <v>31</v>
      </c>
      <c r="I46" s="34">
        <v>31</v>
      </c>
      <c r="J46" s="38">
        <f t="shared" si="2"/>
        <v>0</v>
      </c>
      <c r="K46" s="39">
        <f>'Oct 15'!$F46*'Oct 15'!$I46</f>
        <v>12906541.999999998</v>
      </c>
      <c r="L46" s="40">
        <f>'Oct 15'!$K46/$K$2</f>
        <v>7.2427624420818348E-2</v>
      </c>
      <c r="M46" s="41"/>
    </row>
    <row r="47" spans="1:15" s="43" customFormat="1" ht="25.5" x14ac:dyDescent="0.25">
      <c r="A47" s="34" t="s">
        <v>177</v>
      </c>
      <c r="B47" s="34" t="s">
        <v>107</v>
      </c>
      <c r="C47" s="34" t="s">
        <v>108</v>
      </c>
      <c r="D47" s="35">
        <v>7.1429000000000006E-2</v>
      </c>
      <c r="E47" s="36">
        <f>'Oct 15'!$D47*$C$6*$C$2</f>
        <v>12522274.80617304</v>
      </c>
      <c r="F47" s="36">
        <v>249805.94230769199</v>
      </c>
      <c r="G47" s="37">
        <f>'Oct 15'!$E47/'Oct 15'!$F47</f>
        <v>50.128010128554315</v>
      </c>
      <c r="H47" s="34">
        <v>52</v>
      </c>
      <c r="I47" s="34">
        <v>52</v>
      </c>
      <c r="J47" s="38">
        <f t="shared" si="2"/>
        <v>0</v>
      </c>
      <c r="K47" s="39">
        <f>'Oct 15'!$F47*'Oct 15'!$I47</f>
        <v>12989908.999999983</v>
      </c>
      <c r="L47" s="40">
        <f>'Oct 15'!$K47/$K$2</f>
        <v>7.2895454902839732E-2</v>
      </c>
      <c r="M47" s="41"/>
    </row>
    <row r="48" spans="1:15" s="43" customFormat="1" ht="25.5" x14ac:dyDescent="0.25">
      <c r="A48" s="34" t="s">
        <v>177</v>
      </c>
      <c r="B48" s="34" t="s">
        <v>85</v>
      </c>
      <c r="C48" s="34" t="s">
        <v>86</v>
      </c>
      <c r="D48" s="35">
        <v>7.1429000000000006E-2</v>
      </c>
      <c r="E48" s="36">
        <f>'Oct 15'!$D48*$C$6*$C$2</f>
        <v>12522274.80617304</v>
      </c>
      <c r="F48" s="36">
        <v>162366.35</v>
      </c>
      <c r="G48" s="37">
        <f>'Oct 15'!$E48/'Oct 15'!$F48</f>
        <v>77.123583834784966</v>
      </c>
      <c r="H48" s="34">
        <v>80</v>
      </c>
      <c r="I48" s="34">
        <v>80</v>
      </c>
      <c r="J48" s="38">
        <f t="shared" si="2"/>
        <v>0</v>
      </c>
      <c r="K48" s="39">
        <f>'Oct 15'!$F48*'Oct 15'!$I48</f>
        <v>12989308</v>
      </c>
      <c r="L48" s="40">
        <f>'Oct 15'!$K48/$K$2</f>
        <v>7.2892082271946365E-2</v>
      </c>
      <c r="M48" s="41"/>
    </row>
    <row r="49" spans="1:16" s="43" customFormat="1" ht="25.5" x14ac:dyDescent="0.25">
      <c r="A49" s="34" t="s">
        <v>177</v>
      </c>
      <c r="B49" s="34" t="s">
        <v>186</v>
      </c>
      <c r="C49" s="34" t="s">
        <v>187</v>
      </c>
      <c r="D49" s="35">
        <v>7.1429000000000006E-2</v>
      </c>
      <c r="E49" s="36">
        <f>'Oct 15'!$D49*$C$6*$C$2</f>
        <v>12522274.80617304</v>
      </c>
      <c r="F49" s="36">
        <v>175160.561643836</v>
      </c>
      <c r="G49" s="37">
        <f>'Oct 15'!$E49/'Oct 15'!$F49</f>
        <v>71.490264067748868</v>
      </c>
      <c r="H49" s="34">
        <v>73</v>
      </c>
      <c r="I49" s="34">
        <v>73</v>
      </c>
      <c r="J49" s="38">
        <f t="shared" si="2"/>
        <v>0</v>
      </c>
      <c r="K49" s="39">
        <f>'Oct 15'!$F49*'Oct 15'!$I49</f>
        <v>12786721.000000028</v>
      </c>
      <c r="L49" s="40">
        <f>'Oct 15'!$K49/$K$2</f>
        <v>7.1755225075918319E-2</v>
      </c>
      <c r="M49" s="41"/>
    </row>
    <row r="50" spans="1:16" s="43" customFormat="1" ht="25.5" x14ac:dyDescent="0.25">
      <c r="A50" s="34" t="s">
        <v>177</v>
      </c>
      <c r="B50" s="34" t="s">
        <v>188</v>
      </c>
      <c r="C50" s="34" t="s">
        <v>189</v>
      </c>
      <c r="D50" s="35">
        <v>7.1429000000000006E-2</v>
      </c>
      <c r="E50" s="36">
        <f>'Oct 15'!$D50*$C$6*$C$2</f>
        <v>12522274.80617304</v>
      </c>
      <c r="F50" s="36">
        <v>711101.27777777798</v>
      </c>
      <c r="G50" s="37">
        <f>'Oct 15'!$E50/'Oct 15'!$F50</f>
        <v>17.609692455209313</v>
      </c>
      <c r="H50" s="34">
        <v>18</v>
      </c>
      <c r="I50" s="34">
        <v>18</v>
      </c>
      <c r="J50" s="38">
        <f t="shared" si="2"/>
        <v>0</v>
      </c>
      <c r="K50" s="39">
        <f>'Oct 15'!$F50*'Oct 15'!$I50</f>
        <v>12799823.000000004</v>
      </c>
      <c r="L50" s="40">
        <f>'Oct 15'!$K50/$K$2</f>
        <v>7.1828749551735294E-2</v>
      </c>
      <c r="M50" s="41"/>
    </row>
    <row r="51" spans="1:16" s="44" customFormat="1" ht="12.75" x14ac:dyDescent="0.25">
      <c r="A51" s="34"/>
      <c r="B51" s="34"/>
      <c r="C51" s="34"/>
      <c r="D51" s="35"/>
      <c r="E51" s="36"/>
      <c r="F51" s="36"/>
      <c r="G51" s="37"/>
      <c r="H51" s="34"/>
      <c r="I51" s="34"/>
      <c r="J51" s="45"/>
      <c r="K51" s="36"/>
      <c r="L51" s="40"/>
      <c r="M51" s="34"/>
    </row>
    <row r="52" spans="1:16" s="53" customFormat="1" ht="25.5" x14ac:dyDescent="0.25">
      <c r="A52" s="47" t="s">
        <v>190</v>
      </c>
      <c r="B52" s="47"/>
      <c r="C52" s="47"/>
      <c r="D52" s="55">
        <f>SUBTOTAL(9,D44:D51)</f>
        <v>0.50000300000000009</v>
      </c>
      <c r="E52" s="49">
        <f>'Oct 15'!$D52*$C$6*$C$2</f>
        <v>87655923.643211275</v>
      </c>
      <c r="F52" s="68"/>
      <c r="G52" s="68"/>
      <c r="H52" s="54"/>
      <c r="I52" s="54"/>
      <c r="J52" s="58"/>
      <c r="K52" s="49">
        <f>SUM(K44:K51)</f>
        <v>90347071.00000003</v>
      </c>
      <c r="L52" s="71">
        <f>'Oct 15'!$K52/$K$2</f>
        <v>0.50700053708491488</v>
      </c>
      <c r="M52" s="47"/>
    </row>
    <row r="53" spans="1:16" s="44" customFormat="1" ht="12.75" x14ac:dyDescent="0.25">
      <c r="A53" s="34"/>
      <c r="B53" s="34"/>
      <c r="C53" s="34"/>
      <c r="D53" s="35"/>
      <c r="E53" s="36"/>
      <c r="F53" s="36"/>
      <c r="G53" s="37"/>
      <c r="H53" s="34"/>
      <c r="I53" s="34"/>
      <c r="J53" s="45"/>
      <c r="K53" s="36"/>
      <c r="L53" s="40"/>
      <c r="M53" s="34"/>
    </row>
    <row r="54" spans="1:16" s="43" customFormat="1" ht="12.75" x14ac:dyDescent="0.25">
      <c r="A54" s="34"/>
      <c r="B54" s="34"/>
      <c r="C54" s="34"/>
      <c r="D54" s="35"/>
      <c r="E54" s="36"/>
      <c r="F54" s="36"/>
      <c r="G54" s="72"/>
      <c r="H54" s="34"/>
      <c r="I54" s="34"/>
      <c r="J54" s="38"/>
      <c r="K54" s="39"/>
      <c r="L54" s="40"/>
      <c r="M54" s="41"/>
    </row>
    <row r="55" spans="1:16" s="43" customFormat="1" ht="25.5" x14ac:dyDescent="0.25">
      <c r="A55" s="34" t="s">
        <v>191</v>
      </c>
      <c r="B55" s="34" t="s">
        <v>63</v>
      </c>
      <c r="C55" s="34" t="s">
        <v>64</v>
      </c>
      <c r="D55" s="35">
        <v>9.7799999999999992E-4</v>
      </c>
      <c r="E55" s="36">
        <f>'Oct 15'!$D55*$C$6*$C$2</f>
        <v>171453.95792237369</v>
      </c>
      <c r="F55" s="36">
        <v>45847.25</v>
      </c>
      <c r="G55" s="72">
        <f>'Oct 15'!$E55/'Oct 15'!$F55</f>
        <v>3.7396781251301592</v>
      </c>
      <c r="H55" s="34">
        <v>4</v>
      </c>
      <c r="I55" s="34">
        <v>4</v>
      </c>
      <c r="J55" s="38">
        <f t="shared" ref="J55:J64" si="3">I55-H55</f>
        <v>0</v>
      </c>
      <c r="K55" s="39">
        <f>'Oct 15'!$F55*'Oct 15'!$I55</f>
        <v>183389</v>
      </c>
      <c r="L55" s="40">
        <f>'Oct 15'!$K55/$K$2</f>
        <v>1.0291238051919297E-3</v>
      </c>
      <c r="M55" s="41"/>
    </row>
    <row r="56" spans="1:16" s="43" customFormat="1" ht="25.5" x14ac:dyDescent="0.25">
      <c r="A56" s="34" t="s">
        <v>191</v>
      </c>
      <c r="B56" s="34" t="s">
        <v>73</v>
      </c>
      <c r="C56" s="34" t="s">
        <v>74</v>
      </c>
      <c r="D56" s="35">
        <v>9.7799999999999992E-4</v>
      </c>
      <c r="E56" s="36">
        <f>'Oct 15'!$D56*$C$6*$C$2</f>
        <v>171453.95792237369</v>
      </c>
      <c r="F56" s="36">
        <v>167977</v>
      </c>
      <c r="G56" s="72">
        <f>'Oct 15'!$E56/'Oct 15'!$F56</f>
        <v>1.0206990119026633</v>
      </c>
      <c r="H56" s="34">
        <v>1</v>
      </c>
      <c r="I56" s="34">
        <v>1</v>
      </c>
      <c r="J56" s="38">
        <f t="shared" si="3"/>
        <v>0</v>
      </c>
      <c r="K56" s="39">
        <f>'Oct 15'!$F56*'Oct 15'!$I56</f>
        <v>167977</v>
      </c>
      <c r="L56" s="40">
        <f>'Oct 15'!$K56/$K$2</f>
        <v>9.4263630547483635E-4</v>
      </c>
      <c r="M56" s="41"/>
      <c r="P56" s="43" t="s">
        <v>194</v>
      </c>
    </row>
    <row r="57" spans="1:16" s="43" customFormat="1" ht="25.5" x14ac:dyDescent="0.25">
      <c r="A57" s="34" t="s">
        <v>191</v>
      </c>
      <c r="B57" s="34" t="s">
        <v>92</v>
      </c>
      <c r="C57" s="34" t="s">
        <v>93</v>
      </c>
      <c r="D57" s="35">
        <v>9.7799999999999992E-4</v>
      </c>
      <c r="E57" s="36">
        <f>'Oct 15'!$D57*$C$6*$C$2</f>
        <v>171453.95792237369</v>
      </c>
      <c r="F57" s="36">
        <v>92250.5</v>
      </c>
      <c r="G57" s="72">
        <f>'Oct 15'!$E57/'Oct 15'!$F57</f>
        <v>1.8585694161264568</v>
      </c>
      <c r="H57" s="34">
        <v>2</v>
      </c>
      <c r="I57" s="34">
        <v>2</v>
      </c>
      <c r="J57" s="38">
        <f t="shared" si="3"/>
        <v>0</v>
      </c>
      <c r="K57" s="39">
        <f>'Oct 15'!$F57*'Oct 15'!$I57</f>
        <v>184501</v>
      </c>
      <c r="L57" s="40">
        <f>'Oct 15'!$K57/$K$2</f>
        <v>1.0353640140996253E-3</v>
      </c>
      <c r="M57" s="41"/>
    </row>
    <row r="58" spans="1:16" s="43" customFormat="1" ht="25.5" x14ac:dyDescent="0.25">
      <c r="A58" s="34" t="s">
        <v>191</v>
      </c>
      <c r="B58" s="34" t="s">
        <v>94</v>
      </c>
      <c r="C58" s="34" t="s">
        <v>95</v>
      </c>
      <c r="D58" s="35">
        <v>9.7799999999999992E-4</v>
      </c>
      <c r="E58" s="36">
        <f>'Oct 15'!$D58*$C$6*$C$2</f>
        <v>171453.95792237369</v>
      </c>
      <c r="F58" s="36">
        <v>235738</v>
      </c>
      <c r="G58" s="72">
        <f>'Oct 15'!$E58/'Oct 15'!$F58</f>
        <v>0.72730725603158464</v>
      </c>
      <c r="H58" s="34">
        <v>1</v>
      </c>
      <c r="I58" s="34">
        <v>1</v>
      </c>
      <c r="J58" s="38">
        <f t="shared" si="3"/>
        <v>0</v>
      </c>
      <c r="K58" s="39">
        <f>'Oct 15'!$F58*'Oct 15'!$I58</f>
        <v>235738</v>
      </c>
      <c r="L58" s="40">
        <f>'Oct 15'!$K58/$K$2</f>
        <v>1.3228906182395624E-3</v>
      </c>
      <c r="M58" s="41"/>
    </row>
    <row r="59" spans="1:16" s="43" customFormat="1" ht="25.5" x14ac:dyDescent="0.25">
      <c r="A59" s="34" t="s">
        <v>191</v>
      </c>
      <c r="B59" s="34" t="s">
        <v>213</v>
      </c>
      <c r="C59" s="34" t="s">
        <v>197</v>
      </c>
      <c r="D59" s="35">
        <v>9.7799999999999992E-4</v>
      </c>
      <c r="E59" s="36">
        <f>'Oct 15'!$D59*$C$6*$C$2</f>
        <v>171453.95792237369</v>
      </c>
      <c r="F59" s="36">
        <v>44059</v>
      </c>
      <c r="G59" s="72">
        <f>'Oct 15'!$E59/'Oct 15'!$F59</f>
        <v>3.8914627640748471</v>
      </c>
      <c r="H59" s="34">
        <v>4</v>
      </c>
      <c r="I59" s="34">
        <v>4</v>
      </c>
      <c r="J59" s="38">
        <f t="shared" si="3"/>
        <v>0</v>
      </c>
      <c r="K59" s="39">
        <f>'Oct 15'!$F59*'Oct 15'!$I59</f>
        <v>176236</v>
      </c>
      <c r="L59" s="40">
        <f>'Oct 15'!$K59/$K$2</f>
        <v>9.8898332469125687E-4</v>
      </c>
      <c r="M59" s="41"/>
    </row>
    <row r="60" spans="1:16" s="43" customFormat="1" ht="25.5" x14ac:dyDescent="0.25">
      <c r="A60" s="34" t="s">
        <v>191</v>
      </c>
      <c r="B60" s="34" t="s">
        <v>198</v>
      </c>
      <c r="C60" s="34" t="s">
        <v>199</v>
      </c>
      <c r="D60" s="35">
        <v>9.7799999999999992E-4</v>
      </c>
      <c r="E60" s="36">
        <f>'Oct 15'!$D60*$C$6*$C$2</f>
        <v>171453.95792237369</v>
      </c>
      <c r="F60" s="36">
        <v>42728</v>
      </c>
      <c r="G60" s="72">
        <f>'Oct 15'!$E60/'Oct 15'!$F60</f>
        <v>4.012683905691202</v>
      </c>
      <c r="H60" s="34">
        <v>4</v>
      </c>
      <c r="I60" s="34">
        <v>4</v>
      </c>
      <c r="J60" s="38">
        <f t="shared" si="3"/>
        <v>0</v>
      </c>
      <c r="K60" s="39">
        <f>'Oct 15'!$F60*'Oct 15'!$I60</f>
        <v>170912</v>
      </c>
      <c r="L60" s="40">
        <f>'Oct 15'!$K60/$K$2</f>
        <v>9.5910664103606574E-4</v>
      </c>
      <c r="M60" s="41"/>
    </row>
    <row r="61" spans="1:16" s="43" customFormat="1" ht="25.5" x14ac:dyDescent="0.25">
      <c r="A61" s="34" t="s">
        <v>191</v>
      </c>
      <c r="B61" s="34" t="s">
        <v>200</v>
      </c>
      <c r="C61" s="34" t="s">
        <v>99</v>
      </c>
      <c r="D61" s="35">
        <v>9.7799999999999992E-4</v>
      </c>
      <c r="E61" s="36">
        <f>'Oct 15'!$D61*$C$6*$C$2</f>
        <v>171453.95792237369</v>
      </c>
      <c r="F61" s="36">
        <v>11998.0714285714</v>
      </c>
      <c r="G61" s="72">
        <f>'Oct 15'!$E61/'Oct 15'!$F61</f>
        <v>14.290126454330382</v>
      </c>
      <c r="H61" s="34">
        <v>14</v>
      </c>
      <c r="I61" s="34">
        <v>14</v>
      </c>
      <c r="J61" s="38">
        <f t="shared" si="3"/>
        <v>0</v>
      </c>
      <c r="K61" s="39">
        <f>'Oct 15'!$F61*'Oct 15'!$I61</f>
        <v>167972.99999999959</v>
      </c>
      <c r="L61" s="40">
        <f>'Oct 15'!$K61/$K$2</f>
        <v>9.4261385868020205E-4</v>
      </c>
      <c r="M61" s="41"/>
    </row>
    <row r="62" spans="1:16" s="43" customFormat="1" ht="25.5" x14ac:dyDescent="0.25">
      <c r="A62" s="34" t="s">
        <v>191</v>
      </c>
      <c r="B62" s="34" t="s">
        <v>101</v>
      </c>
      <c r="C62" s="34" t="s">
        <v>102</v>
      </c>
      <c r="D62" s="35">
        <v>9.7799999999999992E-4</v>
      </c>
      <c r="E62" s="36">
        <f>'Oct 15'!$D62*$C$6*$C$2</f>
        <v>171453.95792237369</v>
      </c>
      <c r="F62" s="36">
        <v>91855.5</v>
      </c>
      <c r="G62" s="72">
        <f>'Oct 15'!$E62/'Oct 15'!$F62</f>
        <v>1.8665616966036187</v>
      </c>
      <c r="H62" s="34">
        <v>2</v>
      </c>
      <c r="I62" s="34">
        <v>2</v>
      </c>
      <c r="J62" s="38">
        <f t="shared" si="3"/>
        <v>0</v>
      </c>
      <c r="K62" s="39">
        <f>'Oct 15'!$F62*'Oct 15'!$I62</f>
        <v>183711</v>
      </c>
      <c r="L62" s="40">
        <f>'Oct 15'!$K62/$K$2</f>
        <v>1.0309307721598055E-3</v>
      </c>
      <c r="M62" s="41"/>
    </row>
    <row r="63" spans="1:16" s="2" customFormat="1" ht="25.5" x14ac:dyDescent="0.2">
      <c r="A63" s="34" t="s">
        <v>191</v>
      </c>
      <c r="B63" s="61" t="s">
        <v>132</v>
      </c>
      <c r="C63" s="61" t="s">
        <v>133</v>
      </c>
      <c r="D63" s="35">
        <v>9.7799999999999992E-4</v>
      </c>
      <c r="E63" s="36">
        <f>'Oct 15'!$D63*$C$6*$C$2</f>
        <v>171453.95792237369</v>
      </c>
      <c r="F63" s="36">
        <v>60506</v>
      </c>
      <c r="G63" s="72">
        <f>'Oct 15'!$E63/'Oct 15'!$F63</f>
        <v>2.8336686927308645</v>
      </c>
      <c r="H63" s="34">
        <v>3</v>
      </c>
      <c r="I63" s="34">
        <v>3</v>
      </c>
      <c r="J63" s="38">
        <f t="shared" si="3"/>
        <v>0</v>
      </c>
      <c r="K63" s="39">
        <f>'Oct 15'!$F63*'Oct 15'!$I63</f>
        <v>181518</v>
      </c>
      <c r="L63" s="40">
        <f>'Oct 15'!$K63/$K$2</f>
        <v>1.0186243170028119E-3</v>
      </c>
      <c r="M63" s="62"/>
    </row>
    <row r="64" spans="1:16" s="43" customFormat="1" ht="25.5" x14ac:dyDescent="0.25">
      <c r="A64" s="34" t="s">
        <v>191</v>
      </c>
      <c r="B64" s="34" t="s">
        <v>203</v>
      </c>
      <c r="C64" s="34" t="s">
        <v>204</v>
      </c>
      <c r="D64" s="35">
        <v>9.7799999999999992E-4</v>
      </c>
      <c r="E64" s="36">
        <f>'Oct 15'!$D64*$C$6*$C$2</f>
        <v>171453.95792237369</v>
      </c>
      <c r="F64" s="36">
        <v>120583</v>
      </c>
      <c r="G64" s="72">
        <f>'Oct 15'!$E64/'Oct 15'!$F64</f>
        <v>1.4218750397848261</v>
      </c>
      <c r="H64" s="34">
        <v>1</v>
      </c>
      <c r="I64" s="34">
        <v>1</v>
      </c>
      <c r="J64" s="38">
        <f t="shared" si="3"/>
        <v>0</v>
      </c>
      <c r="K64" s="39">
        <f>'Oct 15'!$F64*'Oct 15'!$I64</f>
        <v>120583</v>
      </c>
      <c r="L64" s="40">
        <f>'Oct 15'!$K64/$K$2</f>
        <v>6.7667545927759269E-4</v>
      </c>
      <c r="M64" s="41"/>
    </row>
    <row r="65" spans="1:13" s="43" customFormat="1" ht="12.75" x14ac:dyDescent="0.25">
      <c r="A65" s="34"/>
      <c r="B65" s="34"/>
      <c r="C65" s="34"/>
      <c r="D65" s="35"/>
      <c r="E65" s="36"/>
      <c r="F65" s="36"/>
      <c r="G65" s="37"/>
      <c r="H65" s="34"/>
      <c r="I65" s="34"/>
      <c r="J65" s="41"/>
      <c r="K65" s="39"/>
      <c r="L65" s="40"/>
      <c r="M65" s="41"/>
    </row>
    <row r="66" spans="1:13" s="43" customFormat="1" ht="12.75" x14ac:dyDescent="0.25">
      <c r="A66" s="34"/>
      <c r="B66" s="34"/>
      <c r="C66" s="34"/>
      <c r="D66" s="35"/>
      <c r="E66" s="36"/>
      <c r="F66" s="36"/>
      <c r="G66" s="37"/>
      <c r="H66" s="34"/>
      <c r="I66" s="34"/>
      <c r="J66" s="41"/>
      <c r="K66" s="39"/>
      <c r="L66" s="40"/>
      <c r="M66" s="41"/>
    </row>
    <row r="67" spans="1:13" s="43" customFormat="1" ht="12.75" x14ac:dyDescent="0.25">
      <c r="A67" s="34"/>
      <c r="B67" s="34"/>
      <c r="C67" s="34"/>
      <c r="D67" s="35"/>
      <c r="E67" s="36"/>
      <c r="F67" s="36"/>
      <c r="G67" s="37"/>
      <c r="H67" s="34"/>
      <c r="I67" s="34"/>
      <c r="J67" s="41"/>
      <c r="K67" s="39"/>
      <c r="L67" s="40"/>
      <c r="M67" s="41"/>
    </row>
    <row r="68" spans="1:13" s="43" customFormat="1" ht="12.75" x14ac:dyDescent="0.25">
      <c r="A68" s="34"/>
      <c r="B68" s="34"/>
      <c r="C68" s="34"/>
      <c r="D68" s="35"/>
      <c r="E68" s="36"/>
      <c r="F68" s="36"/>
      <c r="G68" s="37"/>
      <c r="H68" s="34"/>
      <c r="I68" s="34"/>
      <c r="J68" s="41"/>
      <c r="K68" s="39"/>
      <c r="L68" s="40"/>
      <c r="M68" s="41"/>
    </row>
    <row r="69" spans="1:13" s="43" customFormat="1" ht="12.75" x14ac:dyDescent="0.25">
      <c r="A69" s="34"/>
      <c r="B69" s="34"/>
      <c r="C69" s="34"/>
      <c r="D69" s="35"/>
      <c r="E69" s="36"/>
      <c r="F69" s="36"/>
      <c r="G69" s="37"/>
      <c r="H69" s="34"/>
      <c r="I69" s="34"/>
      <c r="J69" s="41"/>
      <c r="K69" s="39"/>
      <c r="L69" s="40"/>
      <c r="M69" s="41"/>
    </row>
    <row r="70" spans="1:13" s="43" customFormat="1" ht="12.75" x14ac:dyDescent="0.25">
      <c r="A70" s="34"/>
      <c r="B70" s="34"/>
      <c r="C70" s="34"/>
      <c r="D70" s="35"/>
      <c r="E70" s="36"/>
      <c r="F70" s="36"/>
      <c r="G70" s="37"/>
      <c r="H70" s="34"/>
      <c r="I70" s="34"/>
      <c r="J70" s="41"/>
      <c r="K70" s="39"/>
      <c r="L70" s="40"/>
      <c r="M70" s="41"/>
    </row>
    <row r="71" spans="1:13" s="43" customFormat="1" ht="12.75" x14ac:dyDescent="0.25">
      <c r="A71" s="34"/>
      <c r="B71" s="34"/>
      <c r="C71" s="34"/>
      <c r="D71" s="35"/>
      <c r="E71" s="36"/>
      <c r="F71" s="36"/>
      <c r="G71" s="37"/>
      <c r="H71" s="34"/>
      <c r="I71" s="34"/>
      <c r="J71" s="41"/>
      <c r="K71" s="39"/>
      <c r="L71" s="40"/>
      <c r="M71" s="41"/>
    </row>
    <row r="72" spans="1:13" s="15" customFormat="1" ht="12.75" x14ac:dyDescent="0.2">
      <c r="A72" s="47" t="s">
        <v>205</v>
      </c>
      <c r="B72" s="65"/>
      <c r="C72" s="65"/>
      <c r="D72" s="88">
        <f>SUM(D55:D71)</f>
        <v>9.7799999999999988E-3</v>
      </c>
      <c r="E72" s="49">
        <f>SUM(E54:E71)</f>
        <v>1714539.5792237369</v>
      </c>
      <c r="F72" s="68"/>
      <c r="G72" s="68"/>
      <c r="H72" s="65"/>
      <c r="I72" s="65"/>
      <c r="J72" s="47"/>
      <c r="K72" s="49">
        <f>SUM(K54:K71)</f>
        <v>1772537.9999999995</v>
      </c>
      <c r="L72" s="52">
        <f>'Oct 15'!$K72/$K$2</f>
        <v>9.9469491158536878E-3</v>
      </c>
      <c r="M72" s="59"/>
    </row>
    <row r="73" spans="1:13" s="2" customFormat="1" ht="12.75" x14ac:dyDescent="0.2">
      <c r="A73" s="34"/>
      <c r="B73" s="61"/>
      <c r="C73" s="61"/>
      <c r="D73" s="74"/>
      <c r="E73" s="36"/>
      <c r="F73" s="36"/>
      <c r="G73" s="37"/>
      <c r="H73" s="61"/>
      <c r="I73" s="61"/>
      <c r="J73" s="34"/>
      <c r="K73" s="34"/>
      <c r="L73" s="40"/>
      <c r="M73" s="62"/>
    </row>
    <row r="74" spans="1:13" s="43" customFormat="1" ht="25.5" x14ac:dyDescent="0.25">
      <c r="A74" s="47" t="s">
        <v>206</v>
      </c>
      <c r="B74" s="54" t="s">
        <v>207</v>
      </c>
      <c r="C74" s="54" t="s">
        <v>119</v>
      </c>
      <c r="D74" s="55">
        <v>1.1083000000000001E-2</v>
      </c>
      <c r="E74" s="56">
        <f>'Oct 15'!$D74*$C$6*$C$2</f>
        <v>1942969.5456581472</v>
      </c>
      <c r="F74" s="56">
        <v>28550</v>
      </c>
      <c r="G74" s="57">
        <f>'Oct 15'!$E74/'Oct 15'!$F74</f>
        <v>68.054975329532297</v>
      </c>
      <c r="H74" s="54">
        <v>84</v>
      </c>
      <c r="I74" s="54">
        <v>68</v>
      </c>
      <c r="J74" s="75">
        <f>I74-H74</f>
        <v>-16</v>
      </c>
      <c r="K74" s="56">
        <f>'Oct 15'!$F74*'Oct 15'!$I74</f>
        <v>1941400</v>
      </c>
      <c r="L74" s="76">
        <f>'Oct 15'!$K74/$K$2</f>
        <v>1.0894551774640857E-2</v>
      </c>
      <c r="M74" s="54"/>
    </row>
    <row r="75" spans="1:13" s="2" customFormat="1" ht="12.75" x14ac:dyDescent="0.2">
      <c r="A75" s="34"/>
      <c r="B75" s="61"/>
      <c r="C75" s="61"/>
      <c r="D75" s="74"/>
      <c r="E75" s="36"/>
      <c r="F75" s="36"/>
      <c r="G75" s="37"/>
      <c r="H75" s="61"/>
      <c r="I75" s="61"/>
      <c r="J75" s="34"/>
      <c r="K75" s="34"/>
      <c r="L75" s="40"/>
      <c r="M75" s="62"/>
    </row>
    <row r="76" spans="1:13" s="2" customFormat="1" ht="12.75" x14ac:dyDescent="0.2">
      <c r="A76" s="34"/>
      <c r="B76" s="61"/>
      <c r="C76" s="61"/>
      <c r="D76" s="77"/>
      <c r="E76" s="63"/>
      <c r="F76" s="36"/>
      <c r="G76" s="37"/>
      <c r="H76" s="61"/>
      <c r="I76" s="61"/>
      <c r="J76" s="34"/>
      <c r="K76" s="34"/>
      <c r="L76" s="40"/>
      <c r="M76" s="62"/>
    </row>
    <row r="77" spans="1:13" s="15" customFormat="1" ht="12.75" x14ac:dyDescent="0.2">
      <c r="A77" s="47" t="s">
        <v>208</v>
      </c>
      <c r="B77" s="65"/>
      <c r="C77" s="65"/>
      <c r="D77" s="65"/>
      <c r="E77" s="78"/>
      <c r="F77" s="78"/>
      <c r="G77" s="47"/>
      <c r="H77" s="65"/>
      <c r="I77" s="65"/>
      <c r="J77" s="65"/>
      <c r="K77" s="78">
        <f>SUM(K25,K27,K42,K52,K72,K74)</f>
        <v>178199162.31147555</v>
      </c>
      <c r="L77" s="52">
        <f>'Oct 15'!$K77/$K$2</f>
        <v>1</v>
      </c>
      <c r="M77" s="65"/>
    </row>
    <row r="78" spans="1:13" s="2" customFormat="1" ht="12.75" x14ac:dyDescent="0.2">
      <c r="A78" s="62"/>
      <c r="B78" s="62"/>
      <c r="C78" s="62"/>
      <c r="D78" s="79"/>
      <c r="E78" s="80"/>
      <c r="F78" s="36"/>
      <c r="G78" s="81"/>
      <c r="H78" s="62"/>
      <c r="I78" s="62"/>
      <c r="J78" s="62"/>
      <c r="K78" s="62"/>
      <c r="L78" s="40"/>
      <c r="M78" s="62"/>
    </row>
    <row r="79" spans="1:13" s="2" customFormat="1" ht="12.75" x14ac:dyDescent="0.2">
      <c r="A79" s="62"/>
      <c r="B79" s="62"/>
      <c r="C79" s="62"/>
      <c r="D79" s="79"/>
      <c r="E79" s="80"/>
      <c r="F79" s="36"/>
      <c r="G79" s="81"/>
      <c r="H79" s="62"/>
      <c r="I79" s="62"/>
      <c r="J79" s="62"/>
      <c r="K79" s="62"/>
      <c r="L79" s="40"/>
      <c r="M79" s="62"/>
    </row>
    <row r="80" spans="1:13" s="2" customFormat="1" ht="12.75" x14ac:dyDescent="0.2">
      <c r="A80" s="62"/>
      <c r="B80" s="62"/>
      <c r="C80" s="62"/>
      <c r="D80" s="79"/>
      <c r="E80" s="80"/>
      <c r="F80" s="36"/>
      <c r="G80" s="81"/>
      <c r="H80" s="62"/>
      <c r="I80" s="62"/>
      <c r="J80" s="62"/>
      <c r="K80" s="62"/>
      <c r="L80" s="40"/>
      <c r="M80" s="62"/>
    </row>
    <row r="81" spans="1:13" s="2" customFormat="1" ht="12.75" x14ac:dyDescent="0.2">
      <c r="A81" s="62"/>
      <c r="B81" s="62"/>
      <c r="C81" s="62"/>
      <c r="D81" s="79"/>
      <c r="E81" s="80"/>
      <c r="F81" s="36"/>
      <c r="G81" s="81"/>
      <c r="H81" s="62"/>
      <c r="I81" s="62"/>
      <c r="J81" s="62"/>
      <c r="K81" s="62"/>
      <c r="L81" s="40"/>
      <c r="M81" s="62"/>
    </row>
    <row r="82" spans="1:13" s="2" customFormat="1" ht="12.75" x14ac:dyDescent="0.2">
      <c r="A82" s="62"/>
      <c r="B82" s="62"/>
      <c r="C82" s="62"/>
      <c r="D82" s="79"/>
      <c r="E82" s="80"/>
      <c r="F82" s="36"/>
      <c r="G82" s="81"/>
      <c r="H82" s="62"/>
      <c r="I82" s="62"/>
      <c r="J82" s="62"/>
      <c r="K82" s="62"/>
      <c r="L82" s="40"/>
      <c r="M82" s="62"/>
    </row>
    <row r="83" spans="1:13" s="2" customFormat="1" ht="12.75" x14ac:dyDescent="0.2">
      <c r="A83" s="62"/>
      <c r="B83" s="62"/>
      <c r="C83" s="62"/>
      <c r="D83" s="79"/>
      <c r="E83" s="80"/>
      <c r="F83" s="36"/>
      <c r="G83" s="81"/>
      <c r="H83" s="62"/>
      <c r="I83" s="62"/>
      <c r="J83" s="62"/>
      <c r="K83" s="62"/>
      <c r="L83" s="40"/>
      <c r="M83" s="62"/>
    </row>
    <row r="84" spans="1:13" s="2" customFormat="1" ht="12.75" x14ac:dyDescent="0.2">
      <c r="A84" s="62"/>
      <c r="B84" s="62"/>
      <c r="C84" s="62"/>
      <c r="D84" s="79"/>
      <c r="E84" s="80"/>
      <c r="F84" s="36"/>
      <c r="G84" s="81"/>
      <c r="H84" s="62"/>
      <c r="I84" s="62"/>
      <c r="J84" s="62"/>
      <c r="K84" s="62"/>
      <c r="L84" s="40"/>
      <c r="M84" s="62"/>
    </row>
    <row r="85" spans="1:13" s="2" customFormat="1" ht="12.75" x14ac:dyDescent="0.2">
      <c r="A85" s="62"/>
      <c r="B85" s="62"/>
      <c r="C85" s="62"/>
      <c r="D85" s="79"/>
      <c r="E85" s="80"/>
      <c r="F85" s="36"/>
      <c r="G85" s="81"/>
      <c r="H85" s="62"/>
      <c r="I85" s="62"/>
      <c r="J85" s="62"/>
      <c r="K85" s="62"/>
      <c r="L85" s="40"/>
      <c r="M85" s="62"/>
    </row>
    <row r="86" spans="1:13" s="2" customFormat="1" ht="12.75" x14ac:dyDescent="0.2">
      <c r="A86" s="62"/>
      <c r="B86" s="62"/>
      <c r="C86" s="62"/>
      <c r="D86" s="79"/>
      <c r="E86" s="80"/>
      <c r="F86" s="36"/>
      <c r="G86" s="81"/>
      <c r="H86" s="62"/>
      <c r="I86" s="62"/>
      <c r="J86" s="62"/>
      <c r="K86" s="62"/>
      <c r="L86" s="40"/>
      <c r="M86" s="62"/>
    </row>
    <row r="87" spans="1:13" s="2" customFormat="1" ht="12.75" x14ac:dyDescent="0.2"/>
    <row r="88" spans="1:13" s="2" customFormat="1" ht="12.75" x14ac:dyDescent="0.2"/>
    <row r="90" spans="1:13" s="2" customFormat="1" ht="12.75" x14ac:dyDescent="0.2">
      <c r="A90" s="82"/>
      <c r="B90" s="82"/>
      <c r="E90" s="82"/>
      <c r="F90" s="82"/>
      <c r="G90" s="82"/>
      <c r="H90" s="83"/>
      <c r="M90" s="82"/>
    </row>
    <row r="91" spans="1:13" s="2" customFormat="1" ht="12.75" x14ac:dyDescent="0.2">
      <c r="A91" s="82"/>
      <c r="B91" s="82"/>
      <c r="E91" s="82"/>
      <c r="F91" s="82"/>
      <c r="G91" s="82"/>
      <c r="H91" s="83"/>
      <c r="M91" s="82"/>
    </row>
    <row r="92" spans="1:13" s="2" customFormat="1" ht="12.75" x14ac:dyDescent="0.2">
      <c r="A92" s="84"/>
      <c r="B92" s="84"/>
    </row>
    <row r="93" spans="1:13" s="2" customFormat="1" ht="12.75" x14ac:dyDescent="0.2">
      <c r="A93" s="85"/>
      <c r="B93" s="85"/>
      <c r="E93" s="85"/>
      <c r="F93" s="84"/>
      <c r="G93" s="84"/>
      <c r="M93" s="86"/>
    </row>
    <row r="94" spans="1:13" s="2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H95"/>
  <sheetViews>
    <sheetView zoomScale="125" zoomScaleNormal="125" workbookViewId="0">
      <pane xSplit="2" topLeftCell="C1" activePane="topRight" state="frozen"/>
      <selection pane="topRight" activeCell="O14" sqref="O14"/>
    </sheetView>
  </sheetViews>
  <sheetFormatPr defaultColWidth="9.140625" defaultRowHeight="15" x14ac:dyDescent="0.25"/>
  <cols>
    <col min="1" max="2" width="15.140625" style="2" customWidth="1"/>
    <col min="3" max="3" width="29.28515625" style="2" customWidth="1"/>
    <col min="4" max="4" width="14.85546875" style="2" customWidth="1"/>
    <col min="5" max="5" width="27.42578125" style="2" customWidth="1"/>
    <col min="6" max="7" width="13.7109375" style="2" customWidth="1"/>
    <col min="8" max="8" width="16.5703125" style="2" customWidth="1"/>
    <col min="9" max="9" width="15.5703125" style="2" customWidth="1"/>
    <col min="10" max="10" width="13.42578125" customWidth="1"/>
    <col min="11" max="11" width="23.5703125" customWidth="1"/>
    <col min="12" max="12" width="13.42578125" customWidth="1"/>
    <col min="13" max="13" width="22.5703125" style="2" customWidth="1"/>
    <col min="14" max="16" width="10.85546875" style="2" customWidth="1"/>
    <col min="17" max="17" width="11.28515625" style="2" customWidth="1"/>
    <col min="18" max="1022" width="9.140625" style="2"/>
  </cols>
  <sheetData>
    <row r="1" spans="1:17" s="2" customFormat="1" ht="25.5" x14ac:dyDescent="0.2">
      <c r="A1" s="3"/>
      <c r="B1" s="3" t="s">
        <v>138</v>
      </c>
      <c r="C1" s="4">
        <v>44120</v>
      </c>
      <c r="D1" s="5"/>
      <c r="E1" s="6" t="s">
        <v>139</v>
      </c>
      <c r="F1" s="7"/>
      <c r="G1" s="8"/>
      <c r="K1" s="9" t="s">
        <v>140</v>
      </c>
      <c r="L1" s="9" t="s">
        <v>141</v>
      </c>
      <c r="M1" s="10" t="s">
        <v>142</v>
      </c>
    </row>
    <row r="2" spans="1:17" x14ac:dyDescent="0.25">
      <c r="A2" s="3"/>
      <c r="B2" s="3" t="s">
        <v>143</v>
      </c>
      <c r="C2" s="11">
        <v>8.9550000000000001</v>
      </c>
      <c r="D2" s="12"/>
      <c r="E2" s="13">
        <f>SUM(E25,E42,E52,E72,E27,E74)</f>
        <v>178944090.13825458</v>
      </c>
      <c r="F2" s="14"/>
      <c r="G2" s="15"/>
      <c r="H2" s="12"/>
      <c r="I2" s="12"/>
      <c r="J2" s="12"/>
      <c r="K2" s="13">
        <f>SUM(K25,K42,K52,K72,K27,K74:K75)</f>
        <v>180673039.07936767</v>
      </c>
      <c r="L2" s="16">
        <f>SUM(L52,L72,L42,L25,L27,L74)</f>
        <v>0.98848306304801847</v>
      </c>
      <c r="M2" s="17">
        <f>K2/$C$6</f>
        <v>8.9371203033366236</v>
      </c>
      <c r="N2" s="18"/>
    </row>
    <row r="3" spans="1:17" ht="26.25" x14ac:dyDescent="0.25">
      <c r="A3" s="3"/>
      <c r="B3" s="3" t="s">
        <v>144</v>
      </c>
      <c r="C3" s="19">
        <v>20216024.059999999</v>
      </c>
      <c r="D3" s="20"/>
      <c r="E3" s="6" t="s">
        <v>145</v>
      </c>
      <c r="F3" s="14"/>
      <c r="G3" s="15"/>
      <c r="H3" s="12"/>
      <c r="I3" s="12"/>
      <c r="J3" s="12"/>
      <c r="K3" s="6" t="s">
        <v>145</v>
      </c>
      <c r="L3" s="12"/>
      <c r="M3" s="10" t="s">
        <v>146</v>
      </c>
      <c r="N3" s="21"/>
    </row>
    <row r="4" spans="1:17" x14ac:dyDescent="0.25">
      <c r="A4" s="3"/>
      <c r="B4" s="3" t="s">
        <v>147</v>
      </c>
      <c r="C4" s="19">
        <v>0</v>
      </c>
      <c r="D4" s="20"/>
      <c r="E4" s="13">
        <f>SUM(E25,E72,E27)</f>
        <v>35371605.929420017</v>
      </c>
      <c r="F4" s="14"/>
      <c r="G4" s="15"/>
      <c r="H4" s="12"/>
      <c r="I4" s="12"/>
      <c r="J4" s="12"/>
      <c r="K4" s="13">
        <f>SUM(K25,K27,K72)</f>
        <v>35380806.997493699</v>
      </c>
      <c r="L4" s="12"/>
      <c r="M4" s="17">
        <f>K4/$C$6</f>
        <v>1.7501367673725305</v>
      </c>
      <c r="N4" s="21"/>
    </row>
    <row r="5" spans="1:17" x14ac:dyDescent="0.25">
      <c r="A5" s="3"/>
      <c r="B5" s="3" t="s">
        <v>148</v>
      </c>
      <c r="C5" s="19">
        <v>0</v>
      </c>
      <c r="D5" s="20"/>
      <c r="E5" s="14"/>
      <c r="F5" s="14"/>
      <c r="G5" s="22">
        <f>SUM(D25,D27,D42,D52,D72,D74:D75)</f>
        <v>1.0000140000000002</v>
      </c>
      <c r="H5" s="12"/>
      <c r="I5" s="12"/>
      <c r="J5" s="12"/>
      <c r="K5" s="12"/>
      <c r="L5" s="12"/>
      <c r="M5" s="12"/>
      <c r="N5" s="21"/>
    </row>
    <row r="6" spans="1:17" x14ac:dyDescent="0.25">
      <c r="A6" s="3"/>
      <c r="B6" s="3" t="s">
        <v>149</v>
      </c>
      <c r="C6" s="19">
        <f>C3+C4-C5</f>
        <v>20216024.059999999</v>
      </c>
      <c r="D6" s="20"/>
      <c r="E6" s="14"/>
      <c r="F6" s="14"/>
      <c r="G6" s="15"/>
      <c r="H6" s="12"/>
      <c r="I6" s="12"/>
      <c r="J6" s="12"/>
      <c r="K6" s="12"/>
      <c r="L6" s="12"/>
      <c r="M6" s="12"/>
      <c r="N6" s="21"/>
    </row>
    <row r="7" spans="1:17" x14ac:dyDescent="0.25">
      <c r="A7" s="23"/>
      <c r="B7" s="24"/>
      <c r="C7" s="24"/>
      <c r="D7" s="25"/>
      <c r="E7" s="26"/>
      <c r="F7" s="26"/>
      <c r="G7" s="26"/>
      <c r="H7" s="27"/>
      <c r="I7" s="27"/>
      <c r="J7" s="27"/>
      <c r="K7" s="12"/>
      <c r="L7" s="12"/>
      <c r="M7" s="12"/>
      <c r="N7" s="21"/>
    </row>
    <row r="8" spans="1:17" s="32" customFormat="1" ht="38.25" x14ac:dyDescent="0.2">
      <c r="A8" s="28" t="s">
        <v>150</v>
      </c>
      <c r="B8" s="28" t="s">
        <v>151</v>
      </c>
      <c r="C8" s="29" t="s">
        <v>1</v>
      </c>
      <c r="D8" s="29" t="s">
        <v>152</v>
      </c>
      <c r="E8" s="29" t="s">
        <v>153</v>
      </c>
      <c r="F8" s="29" t="s">
        <v>154</v>
      </c>
      <c r="G8" s="29" t="s">
        <v>155</v>
      </c>
      <c r="H8" s="29" t="s">
        <v>156</v>
      </c>
      <c r="I8" s="29" t="s">
        <v>157</v>
      </c>
      <c r="J8" s="29" t="s">
        <v>158</v>
      </c>
      <c r="K8" s="30" t="s">
        <v>159</v>
      </c>
      <c r="L8" s="30" t="s">
        <v>160</v>
      </c>
      <c r="M8" s="30" t="s">
        <v>161</v>
      </c>
      <c r="N8" s="31"/>
      <c r="Q8" s="33"/>
    </row>
    <row r="9" spans="1:17" s="43" customFormat="1" ht="12.75" x14ac:dyDescent="0.25">
      <c r="A9" s="34" t="s">
        <v>162</v>
      </c>
      <c r="B9" s="34" t="s">
        <v>46</v>
      </c>
      <c r="C9" s="34" t="s">
        <v>47</v>
      </c>
      <c r="D9" s="35">
        <v>1.1861999999999999E-2</v>
      </c>
      <c r="E9" s="36">
        <f>'Oct 16'!$D9*$C$6*$C$2</f>
        <v>2147431.1851144922</v>
      </c>
      <c r="F9" s="36">
        <v>561.75</v>
      </c>
      <c r="G9" s="37">
        <f>'Oct 16'!$E9/'Oct 16'!$F9</f>
        <v>3822.7524434614902</v>
      </c>
      <c r="H9" s="34">
        <v>3660</v>
      </c>
      <c r="I9" s="34">
        <f>ROUND(Table138958456799101112131445626789101112131415161718192021345678910111213[[#This Row],[Target Quantity]],0)</f>
        <v>3823</v>
      </c>
      <c r="J9" s="38">
        <f t="shared" ref="J9:J23" si="0">I9-H9</f>
        <v>163</v>
      </c>
      <c r="K9" s="39">
        <f>'Oct 16'!$F9*'Oct 16'!$I9</f>
        <v>2147570.25</v>
      </c>
      <c r="L9" s="40">
        <f>'Oct 16'!$K9/$K$2</f>
        <v>1.1886500946367522E-2</v>
      </c>
      <c r="M9" s="41"/>
      <c r="N9" s="42"/>
      <c r="O9" s="87"/>
    </row>
    <row r="10" spans="1:17" s="43" customFormat="1" ht="12.75" customHeight="1" x14ac:dyDescent="0.25">
      <c r="A10" s="34" t="s">
        <v>162</v>
      </c>
      <c r="B10" s="34" t="s">
        <v>55</v>
      </c>
      <c r="C10" s="34" t="s">
        <v>56</v>
      </c>
      <c r="D10" s="35">
        <v>1.1861999999999999E-2</v>
      </c>
      <c r="E10" s="36">
        <f>'Oct 16'!$D10*$C$6*$C$2</f>
        <v>2147431.1851144922</v>
      </c>
      <c r="F10" s="36">
        <v>449.7</v>
      </c>
      <c r="G10" s="37">
        <f>'Oct 16'!$E10/'Oct 16'!$F10</f>
        <v>4775.2528021225089</v>
      </c>
      <c r="H10" s="34">
        <v>4510</v>
      </c>
      <c r="I10" s="34">
        <f>ROUND(Table138958456799101112131445626789101112131415161718192021345678910111213[[#This Row],[Target Quantity]],0)</f>
        <v>4775</v>
      </c>
      <c r="J10" s="38">
        <f t="shared" si="0"/>
        <v>265</v>
      </c>
      <c r="K10" s="39">
        <f>'Oct 16'!$F10*'Oct 16'!$I10</f>
        <v>2147317.5</v>
      </c>
      <c r="L10" s="40">
        <f>'Oct 16'!$K10/$K$2</f>
        <v>1.1885102010470456E-2</v>
      </c>
      <c r="M10" s="41"/>
    </row>
    <row r="11" spans="1:17" s="43" customFormat="1" ht="12.75" customHeight="1" x14ac:dyDescent="0.25">
      <c r="A11" s="34" t="s">
        <v>162</v>
      </c>
      <c r="B11" s="34" t="s">
        <v>37</v>
      </c>
      <c r="C11" s="34" t="s">
        <v>38</v>
      </c>
      <c r="D11" s="35">
        <v>1.1861999999999999E-2</v>
      </c>
      <c r="E11" s="36">
        <f>'Oct 16'!$D11*$C$6*$C$2</f>
        <v>2147431.1851144922</v>
      </c>
      <c r="F11" s="36">
        <v>81.149984249488099</v>
      </c>
      <c r="G11" s="37">
        <f>'Oct 16'!$E11/'Oct 16'!$F11</f>
        <v>26462.496634779549</v>
      </c>
      <c r="H11" s="34">
        <v>25396</v>
      </c>
      <c r="I11" s="34">
        <f>ROUND(Table138958456799101112131445626789101112131415161718192021345678910111213[[#This Row],[Target Quantity]],0)</f>
        <v>26462</v>
      </c>
      <c r="J11" s="38">
        <f t="shared" si="0"/>
        <v>1066</v>
      </c>
      <c r="K11" s="39">
        <f>'Oct 16'!$F11*'Oct 16'!$I11</f>
        <v>2147390.883209954</v>
      </c>
      <c r="L11" s="40">
        <f>'Oct 16'!$K11/$K$2</f>
        <v>1.1885508176273213E-2</v>
      </c>
      <c r="M11" s="41"/>
    </row>
    <row r="12" spans="1:17" s="44" customFormat="1" ht="12.75" customHeight="1" x14ac:dyDescent="0.25">
      <c r="A12" s="34" t="s">
        <v>162</v>
      </c>
      <c r="B12" s="34" t="s">
        <v>23</v>
      </c>
      <c r="C12" s="34" t="s">
        <v>24</v>
      </c>
      <c r="D12" s="35">
        <v>1.1861999999999999E-2</v>
      </c>
      <c r="E12" s="36">
        <f>'Oct 16'!$D12*$C$6*$C$2</f>
        <v>2147431.1851144922</v>
      </c>
      <c r="F12" s="36">
        <v>240.450039516766</v>
      </c>
      <c r="G12" s="37">
        <f>'Oct 16'!$E12/'Oct 16'!$F12</f>
        <v>8930.8830617378917</v>
      </c>
      <c r="H12" s="34">
        <v>8857</v>
      </c>
      <c r="I12" s="34">
        <f>ROUND(Table138958456799101112131445626789101112131415161718192021345678910111213[[#This Row],[Target Quantity]],0)</f>
        <v>8931</v>
      </c>
      <c r="J12" s="38">
        <f t="shared" si="0"/>
        <v>74</v>
      </c>
      <c r="K12" s="39">
        <f>'Oct 16'!$F12*'Oct 16'!$I12</f>
        <v>2147459.3029242372</v>
      </c>
      <c r="L12" s="40">
        <f>'Oct 16'!$K12/$K$2</f>
        <v>1.188588686982169E-2</v>
      </c>
      <c r="M12" s="34"/>
    </row>
    <row r="13" spans="1:17" s="44" customFormat="1" ht="12.75" customHeight="1" x14ac:dyDescent="0.25">
      <c r="A13" s="34" t="s">
        <v>162</v>
      </c>
      <c r="B13" s="34" t="s">
        <v>60</v>
      </c>
      <c r="C13" s="34" t="s">
        <v>61</v>
      </c>
      <c r="D13" s="35">
        <v>1.1861999999999999E-2</v>
      </c>
      <c r="E13" s="36">
        <f>'Oct 16'!$D13*$C$6*$C$2</f>
        <v>2147431.1851144922</v>
      </c>
      <c r="F13" s="36">
        <v>545.10002469745598</v>
      </c>
      <c r="G13" s="37">
        <f>'Oct 16'!$E13/'Oct 16'!$F13</f>
        <v>3939.5176808263213</v>
      </c>
      <c r="H13" s="34">
        <v>4049</v>
      </c>
      <c r="I13" s="34">
        <f>ROUND(Table138958456799101112131445626789101112131415161718192021345678910111213[[#This Row],[Target Quantity]],0)</f>
        <v>3940</v>
      </c>
      <c r="J13" s="38">
        <f t="shared" si="0"/>
        <v>-109</v>
      </c>
      <c r="K13" s="39">
        <f>'Oct 16'!$F13*'Oct 16'!$I13</f>
        <v>2147694.0973079763</v>
      </c>
      <c r="L13" s="40">
        <f>'Oct 16'!$K13/$K$2</f>
        <v>1.1887186423894259E-2</v>
      </c>
      <c r="M13" s="34"/>
    </row>
    <row r="14" spans="1:17" s="44" customFormat="1" ht="12.75" customHeight="1" x14ac:dyDescent="0.25">
      <c r="A14" s="34" t="s">
        <v>162</v>
      </c>
      <c r="B14" s="34" t="s">
        <v>163</v>
      </c>
      <c r="C14" s="34" t="s">
        <v>164</v>
      </c>
      <c r="D14" s="35">
        <v>1.1861999999999999E-2</v>
      </c>
      <c r="E14" s="36">
        <f>'Oct 16'!$D14*$C$6*$C$2</f>
        <v>2147431.1851144922</v>
      </c>
      <c r="F14" s="36">
        <v>3348.7895595432301</v>
      </c>
      <c r="G14" s="37">
        <f>'Oct 16'!$E14/'Oct 16'!$F14</f>
        <v>641.25593649049677</v>
      </c>
      <c r="H14" s="34">
        <v>613</v>
      </c>
      <c r="I14" s="34">
        <f>ROUND(Table138958456799101112131445626789101112131415161718192021345678910111213[[#This Row],[Target Quantity]],0)</f>
        <v>641</v>
      </c>
      <c r="J14" s="38">
        <f t="shared" si="0"/>
        <v>28</v>
      </c>
      <c r="K14" s="39">
        <f>'Oct 16'!$F14*'Oct 16'!$I14</f>
        <v>2146574.1076672105</v>
      </c>
      <c r="L14" s="40">
        <f>'Oct 16'!$K14/$K$2</f>
        <v>1.1880987437889082E-2</v>
      </c>
      <c r="M14" s="34"/>
    </row>
    <row r="15" spans="1:17" s="44" customFormat="1" ht="12.75" customHeight="1" x14ac:dyDescent="0.25">
      <c r="A15" s="34" t="s">
        <v>162</v>
      </c>
      <c r="B15" s="34" t="s">
        <v>165</v>
      </c>
      <c r="C15" s="34" t="s">
        <v>166</v>
      </c>
      <c r="D15" s="35">
        <v>1.1861999999999999E-2</v>
      </c>
      <c r="E15" s="36">
        <f>'Oct 16'!$D15*$C$6*$C$2</f>
        <v>2147431.1851144922</v>
      </c>
      <c r="F15" s="36">
        <v>291.36999001569001</v>
      </c>
      <c r="G15" s="37">
        <f>'Oct 16'!$E15/'Oct 16'!$F15</f>
        <v>7370.1179211999661</v>
      </c>
      <c r="H15" s="34">
        <v>7011</v>
      </c>
      <c r="I15" s="34">
        <f>ROUND(Table138958456799101112131445626789101112131415161718192021345678910111213[[#This Row],[Target Quantity]],0)</f>
        <v>7370</v>
      </c>
      <c r="J15" s="38">
        <f t="shared" si="0"/>
        <v>359</v>
      </c>
      <c r="K15" s="39">
        <f>'Oct 16'!$F15*'Oct 16'!$I15</f>
        <v>2147396.8264156352</v>
      </c>
      <c r="L15" s="40">
        <f>'Oct 16'!$K15/$K$2</f>
        <v>1.1885541071085363E-2</v>
      </c>
      <c r="M15" s="34"/>
    </row>
    <row r="16" spans="1:17" s="44" customFormat="1" ht="12.75" customHeight="1" x14ac:dyDescent="0.25">
      <c r="A16" s="34" t="s">
        <v>162</v>
      </c>
      <c r="B16" s="34" t="s">
        <v>43</v>
      </c>
      <c r="C16" s="34" t="s">
        <v>44</v>
      </c>
      <c r="D16" s="35">
        <v>1.1861999999999999E-2</v>
      </c>
      <c r="E16" s="36">
        <f>'Oct 16'!$D16*$C$6*$C$2</f>
        <v>2147431.1851144922</v>
      </c>
      <c r="F16" s="36">
        <v>1257.8902513795199</v>
      </c>
      <c r="G16" s="37">
        <f>'Oct 16'!$E16/'Oct 16'!$F16</f>
        <v>1707.168954333988</v>
      </c>
      <c r="H16" s="34">
        <v>1631</v>
      </c>
      <c r="I16" s="34">
        <f>ROUND(Table138958456799101112131445626789101112131415161718192021345678910111213[[#This Row],[Target Quantity]],0)</f>
        <v>1707</v>
      </c>
      <c r="J16" s="38">
        <f t="shared" si="0"/>
        <v>76</v>
      </c>
      <c r="K16" s="39">
        <f>'Oct 16'!$F16*'Oct 16'!$I16</f>
        <v>2147218.6591048404</v>
      </c>
      <c r="L16" s="40">
        <f>'Oct 16'!$K16/$K$2</f>
        <v>1.1884554939940934E-2</v>
      </c>
      <c r="M16" s="34"/>
    </row>
    <row r="17" spans="1:15" s="44" customFormat="1" ht="12.75" customHeight="1" x14ac:dyDescent="0.25">
      <c r="A17" s="34" t="s">
        <v>162</v>
      </c>
      <c r="B17" s="34" t="s">
        <v>167</v>
      </c>
      <c r="C17" s="34" t="s">
        <v>168</v>
      </c>
      <c r="D17" s="35">
        <v>1.1861999999999999E-2</v>
      </c>
      <c r="E17" s="36">
        <f>'Oct 16'!$D17*$C$6*$C$2</f>
        <v>2147431.1851144922</v>
      </c>
      <c r="F17" s="36">
        <v>174.03996202313101</v>
      </c>
      <c r="G17" s="37">
        <f>'Oct 16'!$E17/'Oct 16'!$F17</f>
        <v>12338.7247397186</v>
      </c>
      <c r="H17" s="34">
        <v>11586</v>
      </c>
      <c r="I17" s="34">
        <f>ROUND(Table138958456799101112131445626789101112131415161718192021345678910111213[[#This Row],[Target Quantity]],0)</f>
        <v>12339</v>
      </c>
      <c r="J17" s="38">
        <f t="shared" si="0"/>
        <v>753</v>
      </c>
      <c r="K17" s="39">
        <f>'Oct 16'!$F17*'Oct 16'!$I17</f>
        <v>2147479.0914034136</v>
      </c>
      <c r="L17" s="40">
        <f>'Oct 16'!$K17/$K$2</f>
        <v>1.1885996396286054E-2</v>
      </c>
      <c r="M17" s="34"/>
    </row>
    <row r="18" spans="1:15" s="44" customFormat="1" ht="12.75" customHeight="1" x14ac:dyDescent="0.25">
      <c r="A18" s="34" t="s">
        <v>162</v>
      </c>
      <c r="B18" s="34" t="s">
        <v>28</v>
      </c>
      <c r="C18" s="34" t="s">
        <v>29</v>
      </c>
      <c r="D18" s="35">
        <v>1.1861999999999999E-2</v>
      </c>
      <c r="E18" s="36">
        <f>'Oct 16'!$D18*$C$6*$C$2</f>
        <v>2147431.1851144922</v>
      </c>
      <c r="F18" s="36">
        <v>286.799945747999</v>
      </c>
      <c r="G18" s="37">
        <f>'Oct 16'!$E18/'Oct 16'!$F18</f>
        <v>7487.5578498238774</v>
      </c>
      <c r="H18" s="34">
        <v>7373</v>
      </c>
      <c r="I18" s="34">
        <f>ROUND(Table138958456799101112131445626789101112131415161718192021345678910111213[[#This Row],[Target Quantity]],0)</f>
        <v>7488</v>
      </c>
      <c r="J18" s="38">
        <f t="shared" si="0"/>
        <v>115</v>
      </c>
      <c r="K18" s="39">
        <f>'Oct 16'!$F18*'Oct 16'!$I18</f>
        <v>2147557.9937610165</v>
      </c>
      <c r="L18" s="40">
        <f>'Oct 16'!$K18/$K$2</f>
        <v>1.1886433109799067E-2</v>
      </c>
      <c r="M18" s="34"/>
    </row>
    <row r="19" spans="1:15" s="44" customFormat="1" ht="12.75" customHeight="1" x14ac:dyDescent="0.25">
      <c r="A19" s="34" t="s">
        <v>162</v>
      </c>
      <c r="B19" s="34" t="s">
        <v>173</v>
      </c>
      <c r="C19" s="34" t="s">
        <v>174</v>
      </c>
      <c r="D19" s="35">
        <v>1.1861999999999999E-2</v>
      </c>
      <c r="E19" s="36">
        <f>'Oct 16'!$D19*$C$6*$C$2</f>
        <v>2147431.1851144922</v>
      </c>
      <c r="F19" s="36">
        <v>83.350004052849201</v>
      </c>
      <c r="G19" s="37">
        <f>'Oct 16'!$E19/'Oct 16'!$F19</f>
        <v>25764.020164328776</v>
      </c>
      <c r="H19" s="34">
        <v>24674</v>
      </c>
      <c r="I19" s="34">
        <f>ROUND(Table138958456799101112131445626789101112131415161718192021345678910111213[[#This Row],[Target Quantity]],0)</f>
        <v>25764</v>
      </c>
      <c r="J19" s="38">
        <f t="shared" si="0"/>
        <v>1090</v>
      </c>
      <c r="K19" s="39">
        <f>'Oct 16'!$F19*'Oct 16'!$I19</f>
        <v>2147429.5044176066</v>
      </c>
      <c r="L19" s="40">
        <f>'Oct 16'!$K19/$K$2</f>
        <v>1.18857219392555E-2</v>
      </c>
      <c r="M19" s="34"/>
    </row>
    <row r="20" spans="1:15" s="44" customFormat="1" ht="12.75" customHeight="1" x14ac:dyDescent="0.25">
      <c r="A20" s="34" t="s">
        <v>162</v>
      </c>
      <c r="B20" s="34" t="s">
        <v>19</v>
      </c>
      <c r="C20" s="34" t="s">
        <v>20</v>
      </c>
      <c r="D20" s="35">
        <v>1.1861999999999999E-2</v>
      </c>
      <c r="E20" s="36">
        <f>'Oct 16'!$D20*$C$6*$C$2</f>
        <v>2147431.1851144922</v>
      </c>
      <c r="F20" s="36">
        <v>1343.2498364944399</v>
      </c>
      <c r="G20" s="37">
        <f>'Oct 16'!$E20/'Oct 16'!$F20</f>
        <v>1598.6833772626935</v>
      </c>
      <c r="H20" s="34">
        <v>1529</v>
      </c>
      <c r="I20" s="34">
        <f>ROUND(Table138958456799101112131445626789101112131415161718192021345678910111213[[#This Row],[Target Quantity]],0)</f>
        <v>1599</v>
      </c>
      <c r="J20" s="38">
        <f t="shared" si="0"/>
        <v>70</v>
      </c>
      <c r="K20" s="39">
        <f>'Oct 16'!$F20*'Oct 16'!$I20</f>
        <v>2147856.4885546095</v>
      </c>
      <c r="L20" s="40">
        <f>'Oct 16'!$K20/$K$2</f>
        <v>1.1888085236730201E-2</v>
      </c>
      <c r="M20" s="34"/>
    </row>
    <row r="21" spans="1:15" s="44" customFormat="1" ht="12.75" customHeight="1" x14ac:dyDescent="0.25">
      <c r="A21" s="34" t="s">
        <v>162</v>
      </c>
      <c r="B21" s="34" t="s">
        <v>25</v>
      </c>
      <c r="C21" s="34" t="s">
        <v>26</v>
      </c>
      <c r="D21" s="35">
        <v>5.9309999999999996E-3</v>
      </c>
      <c r="E21" s="36">
        <f>'Oct 16'!$D21*$C$6*$C$2</f>
        <v>1073715.5925572461</v>
      </c>
      <c r="F21" s="36">
        <v>17.059994069778899</v>
      </c>
      <c r="G21" s="37">
        <f>'Oct 16'!$E21/'Oct 16'!$F21</f>
        <v>62937.629882257148</v>
      </c>
      <c r="H21" s="34">
        <v>60706</v>
      </c>
      <c r="I21" s="34">
        <f>ROUND(Table138958456799101112131445626789101112131415161718192021345678910111213[[#This Row],[Target Quantity]],0)</f>
        <v>62938</v>
      </c>
      <c r="J21" s="38">
        <f t="shared" si="0"/>
        <v>2232</v>
      </c>
      <c r="K21" s="39">
        <f>'Oct 16'!$F21*'Oct 16'!$I21</f>
        <v>1073721.9067637443</v>
      </c>
      <c r="L21" s="40">
        <f>'Oct 16'!$K21/$K$2</f>
        <v>5.9429005690886183E-3</v>
      </c>
      <c r="M21" s="34"/>
    </row>
    <row r="22" spans="1:15" s="44" customFormat="1" ht="12.75" customHeight="1" x14ac:dyDescent="0.25">
      <c r="A22" s="34" t="s">
        <v>162</v>
      </c>
      <c r="B22" s="34" t="s">
        <v>209</v>
      </c>
      <c r="C22" s="34" t="s">
        <v>210</v>
      </c>
      <c r="D22" s="35">
        <v>5.9309999999999996E-3</v>
      </c>
      <c r="E22" s="36">
        <f>'Oct 16'!$D22*$C$6*$C$2</f>
        <v>1073715.5925572461</v>
      </c>
      <c r="F22" s="36">
        <v>188.43006146395999</v>
      </c>
      <c r="G22" s="37">
        <f>'Oct 16'!$E22/'Oct 16'!$F22</f>
        <v>5698.2181304579681</v>
      </c>
      <c r="H22" s="34">
        <v>5369</v>
      </c>
      <c r="I22" s="34">
        <f>ROUND(Table138958456799101112131445626789101112131415161718192021345678910111213[[#This Row],[Target Quantity]],0)</f>
        <v>5698</v>
      </c>
      <c r="J22" s="38">
        <f t="shared" si="0"/>
        <v>329</v>
      </c>
      <c r="K22" s="39">
        <f>'Oct 16'!$F22*'Oct 16'!$I22</f>
        <v>1073674.4902216441</v>
      </c>
      <c r="L22" s="40">
        <f>'Oct 16'!$K22/$K$2</f>
        <v>5.9426381251603943E-3</v>
      </c>
      <c r="M22" s="34"/>
    </row>
    <row r="23" spans="1:15" s="44" customFormat="1" ht="12.75" customHeight="1" x14ac:dyDescent="0.25">
      <c r="A23" s="34" t="s">
        <v>162</v>
      </c>
      <c r="B23" s="34" t="s">
        <v>211</v>
      </c>
      <c r="C23" s="34" t="s">
        <v>212</v>
      </c>
      <c r="D23" s="35">
        <v>1.1861999999999999E-2</v>
      </c>
      <c r="E23" s="36">
        <f>'Oct 16'!$D23*$C$6*$C$2</f>
        <v>2147431.1851144922</v>
      </c>
      <c r="F23" s="36">
        <v>120.560004690157</v>
      </c>
      <c r="G23" s="37">
        <f>'Oct 16'!$E23/'Oct 16'!$F23</f>
        <v>17812.135879004465</v>
      </c>
      <c r="H23" s="34">
        <v>17057</v>
      </c>
      <c r="I23" s="34">
        <f>ROUND(Table138958456799101112131445626789101112131415161718192021345678910111213[[#This Row],[Target Quantity]],0)</f>
        <v>17812</v>
      </c>
      <c r="J23" s="38">
        <f t="shared" si="0"/>
        <v>755</v>
      </c>
      <c r="K23" s="39">
        <f>'Oct 16'!$F23*'Oct 16'!$I23</f>
        <v>2147414.8035410764</v>
      </c>
      <c r="L23" s="40">
        <f>'Oct 16'!$K23/$K$2</f>
        <v>1.1885640571960163E-2</v>
      </c>
      <c r="M23" s="34"/>
    </row>
    <row r="24" spans="1:15" s="44" customFormat="1" ht="12.75" customHeight="1" x14ac:dyDescent="0.25">
      <c r="A24" s="34"/>
      <c r="B24" s="34"/>
      <c r="C24" s="34"/>
      <c r="D24" s="35"/>
      <c r="E24" s="36"/>
      <c r="F24" s="36"/>
      <c r="G24" s="37"/>
      <c r="H24" s="34"/>
      <c r="I24" s="34"/>
      <c r="J24" s="45"/>
      <c r="K24" s="36"/>
      <c r="L24" s="46"/>
      <c r="M24" s="34"/>
    </row>
    <row r="25" spans="1:15" s="53" customFormat="1" ht="12.75" customHeight="1" x14ac:dyDescent="0.25">
      <c r="A25" s="47" t="s">
        <v>175</v>
      </c>
      <c r="B25" s="47"/>
      <c r="C25" s="47"/>
      <c r="D25" s="48">
        <f>SUM(D9:D24)</f>
        <v>0.16606799999999999</v>
      </c>
      <c r="E25" s="49">
        <f>'Oct 16'!$D25*$C$6*$C$2</f>
        <v>30064036.591602895</v>
      </c>
      <c r="F25" s="50"/>
      <c r="G25" s="50"/>
      <c r="H25" s="47"/>
      <c r="I25" s="47"/>
      <c r="J25" s="51"/>
      <c r="K25" s="49">
        <f>SUM(K9:K24)</f>
        <v>30063755.905292962</v>
      </c>
      <c r="L25" s="52">
        <f>'Oct 16'!$K25/$K$2</f>
        <v>0.16639868382402251</v>
      </c>
      <c r="M25" s="47"/>
    </row>
    <row r="26" spans="1:15" s="44" customFormat="1" ht="12.75" customHeight="1" x14ac:dyDescent="0.25">
      <c r="A26" s="34"/>
      <c r="B26" s="34"/>
      <c r="C26" s="34"/>
      <c r="D26" s="35"/>
      <c r="E26" s="36"/>
      <c r="F26" s="36"/>
      <c r="G26" s="37"/>
      <c r="H26" s="34"/>
      <c r="I26" s="34"/>
      <c r="J26" s="45"/>
      <c r="K26" s="36"/>
      <c r="L26" s="40"/>
      <c r="M26" s="34"/>
    </row>
    <row r="27" spans="1:15" s="43" customFormat="1" ht="12.75" customHeight="1" x14ac:dyDescent="0.25">
      <c r="A27" s="54"/>
      <c r="B27" s="47" t="s">
        <v>34</v>
      </c>
      <c r="C27" s="54" t="s">
        <v>35</v>
      </c>
      <c r="D27" s="55">
        <v>1.9538E-2</v>
      </c>
      <c r="E27" s="56">
        <f>'Oct 16'!$D27*$C$6*$C$2</f>
        <v>3537051.9722447274</v>
      </c>
      <c r="F27" s="50">
        <v>18.200002532639399</v>
      </c>
      <c r="G27" s="57">
        <f>'Oct 16'!$E27/'Oct 16'!$F27</f>
        <v>194343.48791443699</v>
      </c>
      <c r="H27" s="54">
        <v>236907</v>
      </c>
      <c r="I27" s="54">
        <f>ROUND(Table138958456799101112131445626789101112131415161718192021345678910111213[[#This Row],[Target Quantity]],0)</f>
        <v>194343</v>
      </c>
      <c r="J27" s="58">
        <f>I27-H27</f>
        <v>-42564</v>
      </c>
      <c r="K27" s="59">
        <f>'Oct 16'!$F27*'Oct 16'!$I27</f>
        <v>3537043.0922007388</v>
      </c>
      <c r="L27" s="52">
        <f>'Oct 16'!$K27/$K$2</f>
        <v>1.9577038778026835E-2</v>
      </c>
      <c r="M27" s="47"/>
      <c r="O27" s="42"/>
    </row>
    <row r="28" spans="1:15" s="43" customFormat="1" ht="12.75" customHeight="1" x14ac:dyDescent="0.25">
      <c r="A28" s="34"/>
      <c r="B28" s="34"/>
      <c r="C28" s="34"/>
      <c r="D28" s="35"/>
      <c r="E28" s="36"/>
      <c r="F28" s="36"/>
      <c r="G28" s="37"/>
      <c r="H28" s="34"/>
      <c r="I28" s="34"/>
      <c r="J28" s="45"/>
      <c r="K28" s="39"/>
      <c r="L28" s="40"/>
      <c r="M28" s="34"/>
      <c r="O28" s="42"/>
    </row>
    <row r="29" spans="1:15" s="2" customFormat="1" ht="25.5" x14ac:dyDescent="0.2">
      <c r="A29" s="34" t="s">
        <v>176</v>
      </c>
      <c r="B29" s="60" t="s">
        <v>109</v>
      </c>
      <c r="C29" s="61" t="s">
        <v>110</v>
      </c>
      <c r="D29" s="35">
        <v>2.4421999999999999E-2</v>
      </c>
      <c r="E29" s="36">
        <f>'Oct 16'!$D29*$C$6*$C$2</f>
        <v>4421224.4480581805</v>
      </c>
      <c r="F29" s="36">
        <v>159228.11111111101</v>
      </c>
      <c r="G29" s="37">
        <f>'Oct 16'!$E29/'Oct 16'!$F29</f>
        <v>27.766607398696106</v>
      </c>
      <c r="H29" s="34">
        <v>27</v>
      </c>
      <c r="I29" s="34">
        <v>28</v>
      </c>
      <c r="J29" s="38">
        <f t="shared" ref="J29:J40" si="1">I29-H29</f>
        <v>1</v>
      </c>
      <c r="K29" s="39">
        <f>'Oct 16'!$F29*'Oct 16'!$I29</f>
        <v>4458387.1111111082</v>
      </c>
      <c r="L29" s="40">
        <f>'Oct 16'!$K29/$K$2</f>
        <v>2.4676549051419829E-2</v>
      </c>
      <c r="M29" s="62"/>
    </row>
    <row r="30" spans="1:15" s="2" customFormat="1" ht="25.5" x14ac:dyDescent="0.2">
      <c r="A30" s="34" t="s">
        <v>176</v>
      </c>
      <c r="B30" s="60" t="s">
        <v>115</v>
      </c>
      <c r="C30" s="61" t="s">
        <v>116</v>
      </c>
      <c r="D30" s="35">
        <v>2.4421999999999999E-2</v>
      </c>
      <c r="E30" s="36">
        <f>'Oct 16'!$D30*$C$6*$C$2</f>
        <v>4421224.4480581805</v>
      </c>
      <c r="F30" s="36">
        <v>220012.473684211</v>
      </c>
      <c r="G30" s="37">
        <f>'Oct 16'!$E30/'Oct 16'!$F30</f>
        <v>20.095335387229301</v>
      </c>
      <c r="H30" s="34">
        <v>19</v>
      </c>
      <c r="I30" s="34">
        <v>20</v>
      </c>
      <c r="J30" s="38">
        <f t="shared" si="1"/>
        <v>1</v>
      </c>
      <c r="K30" s="39">
        <f>'Oct 16'!$F30*'Oct 16'!$I30</f>
        <v>4400249.4736842196</v>
      </c>
      <c r="L30" s="40">
        <f>'Oct 16'!$K30/$K$2</f>
        <v>2.4354765360155583E-2</v>
      </c>
      <c r="M30" s="62"/>
    </row>
    <row r="31" spans="1:15" s="2" customFormat="1" ht="25.5" x14ac:dyDescent="0.2">
      <c r="A31" s="34" t="s">
        <v>176</v>
      </c>
      <c r="B31" s="60" t="s">
        <v>121</v>
      </c>
      <c r="C31" s="61" t="s">
        <v>122</v>
      </c>
      <c r="D31" s="35">
        <v>2.4421999999999999E-2</v>
      </c>
      <c r="E31" s="36">
        <f>'Oct 16'!$D31*$C$6*$C$2</f>
        <v>4421224.4480581805</v>
      </c>
      <c r="F31" s="36">
        <v>175362.79166666701</v>
      </c>
      <c r="G31" s="37">
        <f>'Oct 16'!$E31/'Oct 16'!$F31</f>
        <v>25.211873089144987</v>
      </c>
      <c r="H31" s="34">
        <v>24</v>
      </c>
      <c r="I31" s="34">
        <v>25</v>
      </c>
      <c r="J31" s="38">
        <f t="shared" si="1"/>
        <v>1</v>
      </c>
      <c r="K31" s="39">
        <f>'Oct 16'!$F31*'Oct 16'!$I31</f>
        <v>4384069.7916666754</v>
      </c>
      <c r="L31" s="40">
        <f>'Oct 16'!$K31/$K$2</f>
        <v>2.4265213083291316E-2</v>
      </c>
      <c r="M31" s="62"/>
    </row>
    <row r="32" spans="1:15" s="2" customFormat="1" ht="25.5" x14ac:dyDescent="0.2">
      <c r="A32" s="34" t="s">
        <v>176</v>
      </c>
      <c r="B32" s="60" t="s">
        <v>124</v>
      </c>
      <c r="C32" s="61" t="s">
        <v>125</v>
      </c>
      <c r="D32" s="35">
        <v>2.4421999999999999E-2</v>
      </c>
      <c r="E32" s="36">
        <f>'Oct 16'!$D32*$C$6*$C$2</f>
        <v>4421224.4480581805</v>
      </c>
      <c r="F32" s="36">
        <v>125885.852941176</v>
      </c>
      <c r="G32" s="37">
        <f>'Oct 16'!$E32/'Oct 16'!$F32</f>
        <v>35.120899964224989</v>
      </c>
      <c r="H32" s="34">
        <v>34</v>
      </c>
      <c r="I32" s="34">
        <v>35</v>
      </c>
      <c r="J32" s="38">
        <f t="shared" si="1"/>
        <v>1</v>
      </c>
      <c r="K32" s="39">
        <f>'Oct 16'!$F32*'Oct 16'!$I32</f>
        <v>4406004.8529411601</v>
      </c>
      <c r="L32" s="40">
        <f>'Oct 16'!$K32/$K$2</f>
        <v>2.4386620579319812E-2</v>
      </c>
      <c r="M32" s="62"/>
    </row>
    <row r="33" spans="1:15" s="2" customFormat="1" ht="25.5" x14ac:dyDescent="0.2">
      <c r="A33" s="34" t="s">
        <v>176</v>
      </c>
      <c r="B33" s="60" t="s">
        <v>127</v>
      </c>
      <c r="C33" s="61" t="s">
        <v>128</v>
      </c>
      <c r="D33" s="35">
        <v>2.4421999999999999E-2</v>
      </c>
      <c r="E33" s="36">
        <f>'Oct 16'!$D33*$C$6*$C$2</f>
        <v>4421224.4480581805</v>
      </c>
      <c r="F33" s="36">
        <v>139176.64516129001</v>
      </c>
      <c r="G33" s="37">
        <f>'Oct 16'!$E33/'Oct 16'!$F33</f>
        <v>31.766999721357564</v>
      </c>
      <c r="H33" s="34">
        <v>31</v>
      </c>
      <c r="I33" s="34">
        <v>32</v>
      </c>
      <c r="J33" s="38">
        <f t="shared" si="1"/>
        <v>1</v>
      </c>
      <c r="K33" s="39">
        <f>'Oct 16'!$F33*'Oct 16'!$I33</f>
        <v>4453652.6451612804</v>
      </c>
      <c r="L33" s="40">
        <f>'Oct 16'!$K33/$K$2</f>
        <v>2.4650344444612126E-2</v>
      </c>
      <c r="M33" s="62"/>
    </row>
    <row r="34" spans="1:15" s="2" customFormat="1" ht="25.5" x14ac:dyDescent="0.2">
      <c r="A34" s="34" t="s">
        <v>176</v>
      </c>
      <c r="B34" s="60" t="s">
        <v>135</v>
      </c>
      <c r="C34" s="61" t="s">
        <v>136</v>
      </c>
      <c r="D34" s="35">
        <v>2.4421999999999999E-2</v>
      </c>
      <c r="E34" s="36">
        <f>'Oct 16'!$D34*$C$6*$C$2</f>
        <v>4421224.4480581805</v>
      </c>
      <c r="F34" s="36">
        <v>220890.65</v>
      </c>
      <c r="G34" s="37">
        <f>'Oct 16'!$E34/'Oct 16'!$F34</f>
        <v>20.015444058216953</v>
      </c>
      <c r="H34" s="34">
        <v>20</v>
      </c>
      <c r="I34" s="34">
        <v>20</v>
      </c>
      <c r="J34" s="38">
        <f t="shared" si="1"/>
        <v>0</v>
      </c>
      <c r="K34" s="39">
        <f>'Oct 16'!$F34*'Oct 16'!$I34</f>
        <v>4417813</v>
      </c>
      <c r="L34" s="40">
        <f>'Oct 16'!$K34/$K$2</f>
        <v>2.4451977021647947E-2</v>
      </c>
      <c r="M34" s="62"/>
    </row>
    <row r="35" spans="1:15" s="43" customFormat="1" ht="25.5" customHeight="1" x14ac:dyDescent="0.25">
      <c r="A35" s="34" t="s">
        <v>177</v>
      </c>
      <c r="B35" s="34" t="s">
        <v>178</v>
      </c>
      <c r="C35" s="34" t="s">
        <v>179</v>
      </c>
      <c r="D35" s="35">
        <v>2.4421999999999999E-2</v>
      </c>
      <c r="E35" s="36">
        <f>'Oct 16'!$D35*$C$6*$C$2</f>
        <v>4421224.4480581805</v>
      </c>
      <c r="F35" s="36">
        <v>97672.886363636397</v>
      </c>
      <c r="G35" s="37">
        <f>'Oct 16'!$E35/'Oct 16'!$F35</f>
        <v>45.265627060492008</v>
      </c>
      <c r="H35" s="34">
        <v>44</v>
      </c>
      <c r="I35" s="34">
        <v>45</v>
      </c>
      <c r="J35" s="38">
        <f t="shared" si="1"/>
        <v>1</v>
      </c>
      <c r="K35" s="39">
        <f>'Oct 16'!$F35*'Oct 16'!$I35</f>
        <v>4395279.8863636376</v>
      </c>
      <c r="L35" s="40">
        <f>'Oct 16'!$K35/$K$2</f>
        <v>2.4327259389447919E-2</v>
      </c>
      <c r="M35" s="41"/>
      <c r="O35" s="42"/>
    </row>
    <row r="36" spans="1:15" s="43" customFormat="1" ht="25.5" customHeight="1" x14ac:dyDescent="0.25">
      <c r="A36" s="34" t="s">
        <v>177</v>
      </c>
      <c r="B36" s="34" t="s">
        <v>76</v>
      </c>
      <c r="C36" s="34" t="s">
        <v>77</v>
      </c>
      <c r="D36" s="35">
        <v>2.4421999999999999E-2</v>
      </c>
      <c r="E36" s="36">
        <f>'Oct 16'!$D36*$C$6*$C$2</f>
        <v>4421224.4480581805</v>
      </c>
      <c r="F36" s="36">
        <v>115142.72972973</v>
      </c>
      <c r="G36" s="37">
        <f>'Oct 16'!$E36/'Oct 16'!$F36</f>
        <v>38.397773428126527</v>
      </c>
      <c r="H36" s="34">
        <v>37</v>
      </c>
      <c r="I36" s="34">
        <v>38</v>
      </c>
      <c r="J36" s="38">
        <f t="shared" si="1"/>
        <v>1</v>
      </c>
      <c r="K36" s="39">
        <f>'Oct 16'!$F36*'Oct 16'!$I36</f>
        <v>4375423.7297297399</v>
      </c>
      <c r="L36" s="40">
        <f>'Oct 16'!$K36/$K$2</f>
        <v>2.4217358339822161E-2</v>
      </c>
      <c r="M36" s="41"/>
    </row>
    <row r="37" spans="1:15" s="43" customFormat="1" ht="25.5" customHeight="1" x14ac:dyDescent="0.25">
      <c r="A37" s="34" t="s">
        <v>177</v>
      </c>
      <c r="B37" s="34" t="s">
        <v>180</v>
      </c>
      <c r="C37" s="34" t="s">
        <v>181</v>
      </c>
      <c r="D37" s="35">
        <v>2.4421999999999999E-2</v>
      </c>
      <c r="E37" s="36">
        <f>'Oct 16'!$D37*$C$6*$C$2</f>
        <v>4421224.4480581805</v>
      </c>
      <c r="F37" s="36">
        <v>115559.21621621599</v>
      </c>
      <c r="G37" s="37">
        <f>'Oct 16'!$E37/'Oct 16'!$F37</f>
        <v>38.259384173962289</v>
      </c>
      <c r="H37" s="34">
        <v>37</v>
      </c>
      <c r="I37" s="34">
        <v>38</v>
      </c>
      <c r="J37" s="38">
        <f t="shared" si="1"/>
        <v>1</v>
      </c>
      <c r="K37" s="39">
        <f>'Oct 16'!$F37*'Oct 16'!$I37</f>
        <v>4391250.2162162075</v>
      </c>
      <c r="L37" s="40">
        <f>'Oct 16'!$K37/$K$2</f>
        <v>2.4304955728824486E-2</v>
      </c>
      <c r="M37" s="41"/>
    </row>
    <row r="38" spans="1:15" s="43" customFormat="1" ht="25.5" x14ac:dyDescent="0.25">
      <c r="A38" s="34" t="s">
        <v>177</v>
      </c>
      <c r="B38" s="34" t="s">
        <v>71</v>
      </c>
      <c r="C38" s="34" t="s">
        <v>72</v>
      </c>
      <c r="D38" s="35">
        <v>2.4421999999999999E-2</v>
      </c>
      <c r="E38" s="36">
        <f>'Oct 16'!$D38*$C$6*$C$2</f>
        <v>4421224.4480581805</v>
      </c>
      <c r="F38" s="36">
        <v>133096.8125</v>
      </c>
      <c r="G38" s="37">
        <f>'Oct 16'!$E38/'Oct 16'!$F38</f>
        <v>33.218109171909589</v>
      </c>
      <c r="H38" s="34">
        <v>32</v>
      </c>
      <c r="I38" s="34">
        <v>33</v>
      </c>
      <c r="J38" s="38">
        <f t="shared" si="1"/>
        <v>1</v>
      </c>
      <c r="K38" s="39">
        <f>'Oct 16'!$F38*'Oct 16'!$I38</f>
        <v>4392194.8125</v>
      </c>
      <c r="L38" s="40">
        <f>'Oct 16'!$K38/$K$2</f>
        <v>2.4310183937131635E-2</v>
      </c>
      <c r="M38" s="41"/>
    </row>
    <row r="39" spans="1:15" s="43" customFormat="1" ht="25.5" x14ac:dyDescent="0.25">
      <c r="A39" s="34" t="s">
        <v>177</v>
      </c>
      <c r="B39" s="34" t="s">
        <v>67</v>
      </c>
      <c r="C39" s="34" t="s">
        <v>68</v>
      </c>
      <c r="D39" s="35">
        <v>2.4421999999999999E-2</v>
      </c>
      <c r="E39" s="36">
        <f>'Oct 16'!$D39*$C$6*$C$2</f>
        <v>4421224.4480581805</v>
      </c>
      <c r="F39" s="36">
        <v>175641.16</v>
      </c>
      <c r="G39" s="37">
        <f>'Oct 16'!$E39/'Oct 16'!$F39</f>
        <v>25.171915558165185</v>
      </c>
      <c r="H39" s="34">
        <v>25</v>
      </c>
      <c r="I39" s="34">
        <v>25</v>
      </c>
      <c r="J39" s="38">
        <f t="shared" si="1"/>
        <v>0</v>
      </c>
      <c r="K39" s="39">
        <f>'Oct 16'!$F39*'Oct 16'!$I39</f>
        <v>4391029</v>
      </c>
      <c r="L39" s="40">
        <f>'Oct 16'!$K39/$K$2</f>
        <v>2.4303731328009982E-2</v>
      </c>
      <c r="M39" s="41"/>
    </row>
    <row r="40" spans="1:15" s="43" customFormat="1" ht="25.5" x14ac:dyDescent="0.25">
      <c r="A40" s="34" t="s">
        <v>177</v>
      </c>
      <c r="B40" s="34" t="s">
        <v>80</v>
      </c>
      <c r="C40" s="34" t="s">
        <v>81</v>
      </c>
      <c r="D40" s="35">
        <v>2.4421999999999999E-2</v>
      </c>
      <c r="E40" s="36">
        <f>'Oct 16'!$D40*$C$6*$C$2</f>
        <v>4421224.4480581805</v>
      </c>
      <c r="F40" s="36">
        <v>267546.5625</v>
      </c>
      <c r="G40" s="37">
        <f>'Oct 16'!$E40/'Oct 16'!$F40</f>
        <v>16.525065419437713</v>
      </c>
      <c r="H40" s="34">
        <v>16</v>
      </c>
      <c r="I40" s="34">
        <v>17</v>
      </c>
      <c r="J40" s="38">
        <f t="shared" si="1"/>
        <v>1</v>
      </c>
      <c r="K40" s="39">
        <f>'Oct 16'!$F40*'Oct 16'!$I40</f>
        <v>4548291.5625</v>
      </c>
      <c r="L40" s="40">
        <f>'Oct 16'!$K40/$K$2</f>
        <v>2.5174157614639925E-2</v>
      </c>
      <c r="M40" s="41"/>
    </row>
    <row r="41" spans="1:15" s="64" customFormat="1" ht="12.75" x14ac:dyDescent="0.2">
      <c r="A41" s="34"/>
      <c r="B41" s="61"/>
      <c r="C41" s="61"/>
      <c r="D41" s="35"/>
      <c r="E41" s="63"/>
      <c r="F41" s="36"/>
      <c r="G41" s="37"/>
      <c r="H41" s="34"/>
      <c r="I41" s="34"/>
      <c r="J41" s="45"/>
      <c r="K41" s="36"/>
      <c r="L41" s="46"/>
      <c r="M41" s="62"/>
    </row>
    <row r="42" spans="1:15" s="15" customFormat="1" ht="12.75" x14ac:dyDescent="0.2">
      <c r="A42" s="47" t="s">
        <v>182</v>
      </c>
      <c r="B42" s="65"/>
      <c r="C42" s="65"/>
      <c r="D42" s="55">
        <f>SUBTOTAL(9,D29:D41)</f>
        <v>0.29306399999999999</v>
      </c>
      <c r="E42" s="66">
        <f>'Oct 16'!$D42*$C$6*$C$2</f>
        <v>53054693.376698166</v>
      </c>
      <c r="F42" s="67"/>
      <c r="G42" s="68"/>
      <c r="H42" s="54"/>
      <c r="I42" s="54"/>
      <c r="J42" s="58"/>
      <c r="K42" s="66">
        <f>SUM(K29:K41)</f>
        <v>53013646.081874028</v>
      </c>
      <c r="L42" s="69">
        <f>'Oct 16'!$K42/$K$2</f>
        <v>0.2934231158783227</v>
      </c>
      <c r="M42" s="70"/>
    </row>
    <row r="43" spans="1:15" s="64" customFormat="1" ht="12.75" x14ac:dyDescent="0.2">
      <c r="A43" s="34"/>
      <c r="B43" s="61"/>
      <c r="C43" s="61"/>
      <c r="D43" s="35"/>
      <c r="E43" s="63"/>
      <c r="F43" s="36"/>
      <c r="G43" s="37"/>
      <c r="H43" s="34"/>
      <c r="I43" s="34"/>
      <c r="J43" s="45"/>
      <c r="K43" s="36"/>
      <c r="L43" s="40"/>
      <c r="M43" s="62"/>
    </row>
    <row r="44" spans="1:15" s="2" customFormat="1" ht="24.75" customHeight="1" x14ac:dyDescent="0.2">
      <c r="A44" s="34" t="s">
        <v>176</v>
      </c>
      <c r="B44" s="61" t="s">
        <v>183</v>
      </c>
      <c r="C44" s="61" t="s">
        <v>131</v>
      </c>
      <c r="D44" s="35">
        <v>7.1429000000000006E-2</v>
      </c>
      <c r="E44" s="36">
        <f>'Oct 16'!$D44*$C$6*$C$2</f>
        <v>12931112.976019481</v>
      </c>
      <c r="F44" s="36">
        <v>416332.90322580602</v>
      </c>
      <c r="G44" s="37">
        <f>'Oct 16'!$E44/'Oct 16'!$F44</f>
        <v>31.059550844594302</v>
      </c>
      <c r="H44" s="34">
        <v>31</v>
      </c>
      <c r="I44" s="34">
        <v>31</v>
      </c>
      <c r="J44" s="38">
        <f t="shared" ref="J44:J50" si="2">I44-H44</f>
        <v>0</v>
      </c>
      <c r="K44" s="39">
        <f>'Oct 16'!$F44*'Oct 16'!$I44</f>
        <v>12906319.999999987</v>
      </c>
      <c r="L44" s="40">
        <f>'Oct 16'!$K44/$K$2</f>
        <v>7.1434675952566362E-2</v>
      </c>
      <c r="M44" s="62"/>
    </row>
    <row r="45" spans="1:15" s="43" customFormat="1" ht="25.5" x14ac:dyDescent="0.25">
      <c r="A45" s="34" t="s">
        <v>177</v>
      </c>
      <c r="B45" s="34" t="s">
        <v>82</v>
      </c>
      <c r="C45" s="34" t="s">
        <v>83</v>
      </c>
      <c r="D45" s="35">
        <v>7.1429000000000006E-2</v>
      </c>
      <c r="E45" s="36">
        <f>'Oct 16'!$D45*$C$6*$C$2</f>
        <v>12931112.976019481</v>
      </c>
      <c r="F45" s="36">
        <v>249401.25</v>
      </c>
      <c r="G45" s="37">
        <f>'Oct 16'!$E45/'Oct 16'!$F45</f>
        <v>51.848629371422483</v>
      </c>
      <c r="H45" s="34">
        <v>52</v>
      </c>
      <c r="I45" s="34">
        <v>52</v>
      </c>
      <c r="J45" s="38">
        <f t="shared" si="2"/>
        <v>0</v>
      </c>
      <c r="K45" s="39">
        <f>'Oct 16'!$F45*'Oct 16'!$I45</f>
        <v>12968865</v>
      </c>
      <c r="L45" s="40">
        <f>'Oct 16'!$K45/$K$2</f>
        <v>7.1780853779201223E-2</v>
      </c>
      <c r="M45" s="41"/>
    </row>
    <row r="46" spans="1:15" s="43" customFormat="1" ht="25.5" x14ac:dyDescent="0.25">
      <c r="A46" s="34" t="s">
        <v>177</v>
      </c>
      <c r="B46" s="34" t="s">
        <v>184</v>
      </c>
      <c r="C46" s="34" t="s">
        <v>105</v>
      </c>
      <c r="D46" s="35">
        <v>7.1429000000000006E-2</v>
      </c>
      <c r="E46" s="36">
        <f>'Oct 16'!$D46*$C$6*$C$2</f>
        <v>12931112.976019481</v>
      </c>
      <c r="F46" s="36">
        <v>416328.80645161303</v>
      </c>
      <c r="G46" s="37">
        <f>'Oct 16'!$E46/'Oct 16'!$F46</f>
        <v>31.05985647794077</v>
      </c>
      <c r="H46" s="34">
        <v>31</v>
      </c>
      <c r="I46" s="34">
        <v>31</v>
      </c>
      <c r="J46" s="38">
        <f t="shared" si="2"/>
        <v>0</v>
      </c>
      <c r="K46" s="39">
        <f>'Oct 16'!$F46*'Oct 16'!$I46</f>
        <v>12906193.000000004</v>
      </c>
      <c r="L46" s="40">
        <f>'Oct 16'!$K46/$K$2</f>
        <v>7.1433973025330333E-2</v>
      </c>
      <c r="M46" s="41"/>
    </row>
    <row r="47" spans="1:15" s="43" customFormat="1" ht="25.5" x14ac:dyDescent="0.25">
      <c r="A47" s="34" t="s">
        <v>177</v>
      </c>
      <c r="B47" s="34" t="s">
        <v>107</v>
      </c>
      <c r="C47" s="34" t="s">
        <v>108</v>
      </c>
      <c r="D47" s="35">
        <v>7.1429000000000006E-2</v>
      </c>
      <c r="E47" s="36">
        <f>'Oct 16'!$D47*$C$6*$C$2</f>
        <v>12931112.976019481</v>
      </c>
      <c r="F47" s="36">
        <v>249801.5</v>
      </c>
      <c r="G47" s="37">
        <f>'Oct 16'!$E47/'Oct 16'!$F47</f>
        <v>51.765553753758411</v>
      </c>
      <c r="H47" s="34">
        <v>52</v>
      </c>
      <c r="I47" s="34">
        <v>52</v>
      </c>
      <c r="J47" s="38">
        <f t="shared" si="2"/>
        <v>0</v>
      </c>
      <c r="K47" s="39">
        <f>'Oct 16'!$F47*'Oct 16'!$I47</f>
        <v>12989678</v>
      </c>
      <c r="L47" s="40">
        <f>'Oct 16'!$K47/$K$2</f>
        <v>7.1896050823021682E-2</v>
      </c>
      <c r="M47" s="41"/>
    </row>
    <row r="48" spans="1:15" s="43" customFormat="1" ht="25.5" x14ac:dyDescent="0.25">
      <c r="A48" s="34" t="s">
        <v>177</v>
      </c>
      <c r="B48" s="34" t="s">
        <v>85</v>
      </c>
      <c r="C48" s="34" t="s">
        <v>86</v>
      </c>
      <c r="D48" s="35">
        <v>7.1429000000000006E-2</v>
      </c>
      <c r="E48" s="36">
        <f>'Oct 16'!$D48*$C$6*$C$2</f>
        <v>12931112.976019481</v>
      </c>
      <c r="F48" s="36">
        <v>161717.4</v>
      </c>
      <c r="G48" s="37">
        <f>'Oct 16'!$E48/'Oct 16'!$F48</f>
        <v>79.961172860925799</v>
      </c>
      <c r="H48" s="34">
        <v>80</v>
      </c>
      <c r="I48" s="34">
        <v>80</v>
      </c>
      <c r="J48" s="38">
        <f t="shared" si="2"/>
        <v>0</v>
      </c>
      <c r="K48" s="39">
        <f>'Oct 16'!$F48*'Oct 16'!$I48</f>
        <v>12937392</v>
      </c>
      <c r="L48" s="40">
        <f>'Oct 16'!$K48/$K$2</f>
        <v>7.1606655126428387E-2</v>
      </c>
      <c r="M48" s="41"/>
    </row>
    <row r="49" spans="1:16" s="43" customFormat="1" ht="25.5" x14ac:dyDescent="0.25">
      <c r="A49" s="34" t="s">
        <v>177</v>
      </c>
      <c r="B49" s="34" t="s">
        <v>186</v>
      </c>
      <c r="C49" s="34" t="s">
        <v>187</v>
      </c>
      <c r="D49" s="35">
        <v>7.1429000000000006E-2</v>
      </c>
      <c r="E49" s="36">
        <f>'Oct 16'!$D49*$C$6*$C$2</f>
        <v>12931112.976019481</v>
      </c>
      <c r="F49" s="36">
        <v>174497.02739726001</v>
      </c>
      <c r="G49" s="37">
        <f>'Oct 16'!$E49/'Oct 16'!$F49</f>
        <v>74.105061667213988</v>
      </c>
      <c r="H49" s="34">
        <v>73</v>
      </c>
      <c r="I49" s="34">
        <v>73</v>
      </c>
      <c r="J49" s="38">
        <f t="shared" si="2"/>
        <v>0</v>
      </c>
      <c r="K49" s="39">
        <f>'Oct 16'!$F49*'Oct 16'!$I49</f>
        <v>12738282.999999981</v>
      </c>
      <c r="L49" s="40">
        <f>'Oct 16'!$K49/$K$2</f>
        <v>7.0504614661428225E-2</v>
      </c>
      <c r="M49" s="41"/>
    </row>
    <row r="50" spans="1:16" s="43" customFormat="1" ht="25.5" x14ac:dyDescent="0.25">
      <c r="A50" s="34" t="s">
        <v>177</v>
      </c>
      <c r="B50" s="34" t="s">
        <v>188</v>
      </c>
      <c r="C50" s="34" t="s">
        <v>189</v>
      </c>
      <c r="D50" s="35">
        <v>7.1429000000000006E-2</v>
      </c>
      <c r="E50" s="36">
        <f>'Oct 16'!$D50*$C$6*$C$2</f>
        <v>12931112.976019481</v>
      </c>
      <c r="F50" s="36">
        <v>708391.94444444403</v>
      </c>
      <c r="G50" s="37">
        <f>'Oct 16'!$E50/'Oct 16'!$F50</f>
        <v>18.254178463535041</v>
      </c>
      <c r="H50" s="34">
        <v>18</v>
      </c>
      <c r="I50" s="34">
        <v>18</v>
      </c>
      <c r="J50" s="38">
        <f t="shared" si="2"/>
        <v>0</v>
      </c>
      <c r="K50" s="39">
        <f>'Oct 16'!$F50*'Oct 16'!$I50</f>
        <v>12751054.999999993</v>
      </c>
      <c r="L50" s="40">
        <f>'Oct 16'!$K50/$K$2</f>
        <v>7.0575305894968618E-2</v>
      </c>
      <c r="M50" s="41"/>
    </row>
    <row r="51" spans="1:16" s="44" customFormat="1" ht="12.75" x14ac:dyDescent="0.25">
      <c r="A51" s="34"/>
      <c r="B51" s="34"/>
      <c r="C51" s="34"/>
      <c r="D51" s="35"/>
      <c r="E51" s="36"/>
      <c r="F51" s="36"/>
      <c r="G51" s="37"/>
      <c r="H51" s="34"/>
      <c r="I51" s="34"/>
      <c r="J51" s="45"/>
      <c r="K51" s="36"/>
      <c r="L51" s="40"/>
      <c r="M51" s="34"/>
    </row>
    <row r="52" spans="1:16" s="53" customFormat="1" ht="25.5" x14ac:dyDescent="0.25">
      <c r="A52" s="47" t="s">
        <v>190</v>
      </c>
      <c r="B52" s="47"/>
      <c r="C52" s="47"/>
      <c r="D52" s="55">
        <f>SUBTOTAL(9,D44:D51)</f>
        <v>0.50000300000000009</v>
      </c>
      <c r="E52" s="49">
        <f>'Oct 16'!$D52*$C$6*$C$2</f>
        <v>90517790.832136378</v>
      </c>
      <c r="F52" s="68"/>
      <c r="G52" s="68"/>
      <c r="H52" s="54"/>
      <c r="I52" s="54"/>
      <c r="J52" s="58"/>
      <c r="K52" s="49">
        <f>SUM(K44:K51)</f>
        <v>90197785.99999997</v>
      </c>
      <c r="L52" s="71">
        <f>'Oct 16'!$K52/$K$2</f>
        <v>0.49923212926294486</v>
      </c>
      <c r="M52" s="47"/>
    </row>
    <row r="53" spans="1:16" s="44" customFormat="1" ht="12.75" x14ac:dyDescent="0.25">
      <c r="A53" s="34"/>
      <c r="B53" s="34"/>
      <c r="C53" s="34"/>
      <c r="D53" s="35"/>
      <c r="E53" s="36"/>
      <c r="F53" s="36"/>
      <c r="G53" s="37"/>
      <c r="H53" s="34"/>
      <c r="I53" s="34"/>
      <c r="J53" s="45"/>
      <c r="K53" s="36"/>
      <c r="L53" s="40"/>
      <c r="M53" s="34"/>
    </row>
    <row r="54" spans="1:16" s="43" customFormat="1" ht="12.75" x14ac:dyDescent="0.25">
      <c r="A54" s="34"/>
      <c r="B54" s="34"/>
      <c r="C54" s="34"/>
      <c r="D54" s="35"/>
      <c r="E54" s="36"/>
      <c r="F54" s="36"/>
      <c r="G54" s="72"/>
      <c r="H54" s="34"/>
      <c r="I54" s="34"/>
      <c r="J54" s="38"/>
      <c r="K54" s="39"/>
      <c r="L54" s="40"/>
      <c r="M54" s="41"/>
    </row>
    <row r="55" spans="1:16" s="43" customFormat="1" ht="25.5" x14ac:dyDescent="0.25">
      <c r="A55" s="34" t="s">
        <v>191</v>
      </c>
      <c r="B55" s="34" t="s">
        <v>63</v>
      </c>
      <c r="C55" s="34" t="s">
        <v>64</v>
      </c>
      <c r="D55" s="35">
        <v>9.7799999999999992E-4</v>
      </c>
      <c r="E55" s="36">
        <f>'Oct 16'!$D55*$C$6*$C$2</f>
        <v>177051.73655723938</v>
      </c>
      <c r="F55" s="36">
        <v>46324.5</v>
      </c>
      <c r="G55" s="72">
        <f>'Oct 16'!$E55/'Oct 16'!$F55</f>
        <v>3.8219891538438486</v>
      </c>
      <c r="H55" s="34">
        <v>4</v>
      </c>
      <c r="I55" s="34">
        <v>4</v>
      </c>
      <c r="J55" s="38">
        <f t="shared" ref="J55:J64" si="3">I55-H55</f>
        <v>0</v>
      </c>
      <c r="K55" s="39">
        <f>'Oct 16'!$F55*'Oct 16'!$I55</f>
        <v>185298</v>
      </c>
      <c r="L55" s="40">
        <f>'Oct 16'!$K55/$K$2</f>
        <v>1.0255985117879189E-3</v>
      </c>
      <c r="M55" s="41"/>
    </row>
    <row r="56" spans="1:16" s="43" customFormat="1" ht="25.5" x14ac:dyDescent="0.25">
      <c r="A56" s="34" t="s">
        <v>191</v>
      </c>
      <c r="B56" s="34" t="s">
        <v>73</v>
      </c>
      <c r="C56" s="34" t="s">
        <v>74</v>
      </c>
      <c r="D56" s="35">
        <v>9.7799999999999992E-4</v>
      </c>
      <c r="E56" s="36">
        <f>'Oct 16'!$D56*$C$6*$C$2</f>
        <v>177051.73655723938</v>
      </c>
      <c r="F56" s="36">
        <v>168617</v>
      </c>
      <c r="G56" s="72">
        <f>'Oct 16'!$E56/'Oct 16'!$F56</f>
        <v>1.0500230496168201</v>
      </c>
      <c r="H56" s="34">
        <v>1</v>
      </c>
      <c r="I56" s="34">
        <v>1</v>
      </c>
      <c r="J56" s="38">
        <f t="shared" si="3"/>
        <v>0</v>
      </c>
      <c r="K56" s="39">
        <f>'Oct 16'!$F56*'Oct 16'!$I56</f>
        <v>168617</v>
      </c>
      <c r="L56" s="40">
        <f>'Oct 16'!$K56/$K$2</f>
        <v>9.3327151001167596E-4</v>
      </c>
      <c r="M56" s="41"/>
      <c r="P56" s="43" t="s">
        <v>194</v>
      </c>
    </row>
    <row r="57" spans="1:16" s="43" customFormat="1" ht="25.5" x14ac:dyDescent="0.25">
      <c r="A57" s="34" t="s">
        <v>191</v>
      </c>
      <c r="B57" s="34" t="s">
        <v>92</v>
      </c>
      <c r="C57" s="34" t="s">
        <v>93</v>
      </c>
      <c r="D57" s="35">
        <v>9.7799999999999992E-4</v>
      </c>
      <c r="E57" s="36">
        <f>'Oct 16'!$D57*$C$6*$C$2</f>
        <v>177051.73655723938</v>
      </c>
      <c r="F57" s="36">
        <v>93423</v>
      </c>
      <c r="G57" s="72">
        <f>'Oct 16'!$E57/'Oct 16'!$F57</f>
        <v>1.8951621823024243</v>
      </c>
      <c r="H57" s="34">
        <v>2</v>
      </c>
      <c r="I57" s="34">
        <v>2</v>
      </c>
      <c r="J57" s="38">
        <f t="shared" si="3"/>
        <v>0</v>
      </c>
      <c r="K57" s="39">
        <f>'Oct 16'!$F57*'Oct 16'!$I57</f>
        <v>186846</v>
      </c>
      <c r="L57" s="40">
        <f>'Oct 16'!$K57/$K$2</f>
        <v>1.0341664752643066E-3</v>
      </c>
      <c r="M57" s="41"/>
    </row>
    <row r="58" spans="1:16" s="43" customFormat="1" ht="25.5" x14ac:dyDescent="0.25">
      <c r="A58" s="34" t="s">
        <v>191</v>
      </c>
      <c r="B58" s="34" t="s">
        <v>94</v>
      </c>
      <c r="C58" s="34" t="s">
        <v>95</v>
      </c>
      <c r="D58" s="35">
        <v>9.7799999999999992E-4</v>
      </c>
      <c r="E58" s="36">
        <f>'Oct 16'!$D58*$C$6*$C$2</f>
        <v>177051.73655723938</v>
      </c>
      <c r="F58" s="36">
        <v>234839</v>
      </c>
      <c r="G58" s="72">
        <f>'Oct 16'!$E58/'Oct 16'!$F58</f>
        <v>0.75392816592320433</v>
      </c>
      <c r="H58" s="34">
        <v>1</v>
      </c>
      <c r="I58" s="34">
        <v>1</v>
      </c>
      <c r="J58" s="38">
        <f t="shared" si="3"/>
        <v>0</v>
      </c>
      <c r="K58" s="39">
        <f>'Oct 16'!$F58*'Oct 16'!$I58</f>
        <v>234839</v>
      </c>
      <c r="L58" s="40">
        <f>'Oct 16'!$K58/$K$2</f>
        <v>1.2998010173329614E-3</v>
      </c>
      <c r="M58" s="41"/>
    </row>
    <row r="59" spans="1:16" s="43" customFormat="1" ht="25.5" x14ac:dyDescent="0.25">
      <c r="A59" s="34" t="s">
        <v>191</v>
      </c>
      <c r="B59" s="34" t="s">
        <v>213</v>
      </c>
      <c r="C59" s="34" t="s">
        <v>197</v>
      </c>
      <c r="D59" s="35">
        <v>9.7799999999999992E-4</v>
      </c>
      <c r="E59" s="36">
        <f>'Oct 16'!$D59*$C$6*$C$2</f>
        <v>177051.73655723938</v>
      </c>
      <c r="F59" s="36">
        <v>44096.5</v>
      </c>
      <c r="G59" s="72">
        <f>'Oct 16'!$E59/'Oct 16'!$F59</f>
        <v>4.0150972652532371</v>
      </c>
      <c r="H59" s="34">
        <v>4</v>
      </c>
      <c r="I59" s="34">
        <v>4</v>
      </c>
      <c r="J59" s="38">
        <f t="shared" si="3"/>
        <v>0</v>
      </c>
      <c r="K59" s="39">
        <f>'Oct 16'!$F59*'Oct 16'!$I59</f>
        <v>176386</v>
      </c>
      <c r="L59" s="40">
        <f>'Oct 16'!$K59/$K$2</f>
        <v>9.7627183833729381E-4</v>
      </c>
      <c r="M59" s="41"/>
    </row>
    <row r="60" spans="1:16" s="43" customFormat="1" ht="25.5" x14ac:dyDescent="0.25">
      <c r="A60" s="34" t="s">
        <v>191</v>
      </c>
      <c r="B60" s="34" t="s">
        <v>198</v>
      </c>
      <c r="C60" s="34" t="s">
        <v>199</v>
      </c>
      <c r="D60" s="35">
        <v>9.7799999999999992E-4</v>
      </c>
      <c r="E60" s="36">
        <f>'Oct 16'!$D60*$C$6*$C$2</f>
        <v>177051.73655723938</v>
      </c>
      <c r="F60" s="36">
        <v>42966.25</v>
      </c>
      <c r="G60" s="72">
        <f>'Oct 16'!$E60/'Oct 16'!$F60</f>
        <v>4.1207165288392487</v>
      </c>
      <c r="H60" s="34">
        <v>4</v>
      </c>
      <c r="I60" s="34">
        <v>4</v>
      </c>
      <c r="J60" s="38">
        <f t="shared" si="3"/>
        <v>0</v>
      </c>
      <c r="K60" s="39">
        <f>'Oct 16'!$F60*'Oct 16'!$I60</f>
        <v>171865</v>
      </c>
      <c r="L60" s="40">
        <f>'Oct 16'!$K60/$K$2</f>
        <v>9.5124873570373504E-4</v>
      </c>
      <c r="M60" s="41"/>
    </row>
    <row r="61" spans="1:16" s="43" customFormat="1" ht="25.5" x14ac:dyDescent="0.25">
      <c r="A61" s="34" t="s">
        <v>191</v>
      </c>
      <c r="B61" s="34" t="s">
        <v>200</v>
      </c>
      <c r="C61" s="34" t="s">
        <v>99</v>
      </c>
      <c r="D61" s="35">
        <v>9.7799999999999992E-4</v>
      </c>
      <c r="E61" s="36">
        <f>'Oct 16'!$D61*$C$6*$C$2</f>
        <v>177051.73655723938</v>
      </c>
      <c r="F61" s="36">
        <v>12034.285714285699</v>
      </c>
      <c r="G61" s="72">
        <f>'Oct 16'!$E61/'Oct 16'!$F61</f>
        <v>14.712276304613926</v>
      </c>
      <c r="H61" s="34">
        <v>14</v>
      </c>
      <c r="I61" s="34">
        <v>14</v>
      </c>
      <c r="J61" s="38">
        <f t="shared" si="3"/>
        <v>0</v>
      </c>
      <c r="K61" s="39">
        <f>'Oct 16'!$F61*'Oct 16'!$I61</f>
        <v>168479.9999999998</v>
      </c>
      <c r="L61" s="40">
        <f>'Oct 16'!$K61/$K$2</f>
        <v>9.3251323417429426E-4</v>
      </c>
      <c r="M61" s="41"/>
    </row>
    <row r="62" spans="1:16" s="43" customFormat="1" ht="25.5" x14ac:dyDescent="0.25">
      <c r="A62" s="34" t="s">
        <v>191</v>
      </c>
      <c r="B62" s="34" t="s">
        <v>101</v>
      </c>
      <c r="C62" s="34" t="s">
        <v>102</v>
      </c>
      <c r="D62" s="35">
        <v>9.7799999999999992E-4</v>
      </c>
      <c r="E62" s="36">
        <f>'Oct 16'!$D62*$C$6*$C$2</f>
        <v>177051.73655723938</v>
      </c>
      <c r="F62" s="36">
        <v>91735</v>
      </c>
      <c r="G62" s="72">
        <f>'Oct 16'!$E62/'Oct 16'!$F62</f>
        <v>1.9300347365480937</v>
      </c>
      <c r="H62" s="34">
        <v>2</v>
      </c>
      <c r="I62" s="34">
        <v>2</v>
      </c>
      <c r="J62" s="38">
        <f t="shared" si="3"/>
        <v>0</v>
      </c>
      <c r="K62" s="39">
        <f>'Oct 16'!$F62*'Oct 16'!$I62</f>
        <v>183470</v>
      </c>
      <c r="L62" s="40">
        <f>'Oct 16'!$K62/$K$2</f>
        <v>1.0154807874760089E-3</v>
      </c>
      <c r="M62" s="41"/>
    </row>
    <row r="63" spans="1:16" s="2" customFormat="1" ht="25.5" x14ac:dyDescent="0.2">
      <c r="A63" s="34" t="s">
        <v>191</v>
      </c>
      <c r="B63" s="61" t="s">
        <v>132</v>
      </c>
      <c r="C63" s="61" t="s">
        <v>133</v>
      </c>
      <c r="D63" s="35">
        <v>9.7799999999999992E-4</v>
      </c>
      <c r="E63" s="36">
        <f>'Oct 16'!$D63*$C$6*$C$2</f>
        <v>177051.73655723938</v>
      </c>
      <c r="F63" s="36">
        <v>60595.666666666701</v>
      </c>
      <c r="G63" s="72">
        <f>'Oct 16'!$E63/'Oct 16'!$F63</f>
        <v>2.9218547512842932</v>
      </c>
      <c r="H63" s="34">
        <v>3</v>
      </c>
      <c r="I63" s="34">
        <v>3</v>
      </c>
      <c r="J63" s="38">
        <f t="shared" si="3"/>
        <v>0</v>
      </c>
      <c r="K63" s="39">
        <f>'Oct 16'!$F63*'Oct 16'!$I63</f>
        <v>181787.00000000012</v>
      </c>
      <c r="L63" s="40">
        <f>'Oct 16'!$K63/$K$2</f>
        <v>1.006165617882495E-3</v>
      </c>
      <c r="M63" s="62"/>
    </row>
    <row r="64" spans="1:16" s="43" customFormat="1" ht="25.5" x14ac:dyDescent="0.25">
      <c r="A64" s="34" t="s">
        <v>191</v>
      </c>
      <c r="B64" s="34" t="s">
        <v>203</v>
      </c>
      <c r="C64" s="34" t="s">
        <v>204</v>
      </c>
      <c r="D64" s="35">
        <v>9.7799999999999992E-4</v>
      </c>
      <c r="E64" s="36">
        <f>'Oct 16'!$D64*$C$6*$C$2</f>
        <v>177051.73655723938</v>
      </c>
      <c r="F64" s="36">
        <v>122420</v>
      </c>
      <c r="G64" s="72">
        <f>'Oct 16'!$E64/'Oct 16'!$F64</f>
        <v>1.4462647978862879</v>
      </c>
      <c r="H64" s="34">
        <v>1</v>
      </c>
      <c r="I64" s="34">
        <v>1</v>
      </c>
      <c r="J64" s="38">
        <f t="shared" si="3"/>
        <v>0</v>
      </c>
      <c r="K64" s="39">
        <f>'Oct 16'!$F64*'Oct 16'!$I64</f>
        <v>122420</v>
      </c>
      <c r="L64" s="40">
        <f>'Oct 16'!$K64/$K$2</f>
        <v>6.7757757673087156E-4</v>
      </c>
      <c r="M64" s="41"/>
    </row>
    <row r="65" spans="1:13" s="43" customFormat="1" ht="12.75" x14ac:dyDescent="0.25">
      <c r="A65" s="34"/>
      <c r="B65" s="34"/>
      <c r="C65" s="34"/>
      <c r="D65" s="35"/>
      <c r="E65" s="36"/>
      <c r="F65" s="36"/>
      <c r="G65" s="37"/>
      <c r="H65" s="34"/>
      <c r="I65" s="34"/>
      <c r="J65" s="41"/>
      <c r="K65" s="39"/>
      <c r="L65" s="40"/>
      <c r="M65" s="41"/>
    </row>
    <row r="66" spans="1:13" s="43" customFormat="1" ht="12.75" x14ac:dyDescent="0.25">
      <c r="A66" s="34"/>
      <c r="B66" s="34"/>
      <c r="C66" s="34"/>
      <c r="D66" s="35"/>
      <c r="E66" s="36"/>
      <c r="F66" s="36"/>
      <c r="G66" s="37"/>
      <c r="H66" s="34"/>
      <c r="I66" s="34"/>
      <c r="J66" s="41"/>
      <c r="K66" s="39"/>
      <c r="L66" s="40"/>
      <c r="M66" s="41"/>
    </row>
    <row r="67" spans="1:13" s="43" customFormat="1" ht="12.75" x14ac:dyDescent="0.25">
      <c r="A67" s="34"/>
      <c r="B67" s="34"/>
      <c r="C67" s="34"/>
      <c r="D67" s="35"/>
      <c r="E67" s="36"/>
      <c r="F67" s="36"/>
      <c r="G67" s="37"/>
      <c r="H67" s="34"/>
      <c r="I67" s="34"/>
      <c r="J67" s="41"/>
      <c r="K67" s="39"/>
      <c r="L67" s="40"/>
      <c r="M67" s="41"/>
    </row>
    <row r="68" spans="1:13" s="43" customFormat="1" ht="12.75" x14ac:dyDescent="0.25">
      <c r="A68" s="34"/>
      <c r="B68" s="34"/>
      <c r="C68" s="34"/>
      <c r="D68" s="35"/>
      <c r="E68" s="36"/>
      <c r="F68" s="36"/>
      <c r="G68" s="37"/>
      <c r="H68" s="34"/>
      <c r="I68" s="34"/>
      <c r="J68" s="41"/>
      <c r="K68" s="39"/>
      <c r="L68" s="40"/>
      <c r="M68" s="41"/>
    </row>
    <row r="69" spans="1:13" s="43" customFormat="1" ht="12.75" x14ac:dyDescent="0.25">
      <c r="A69" s="34"/>
      <c r="B69" s="34"/>
      <c r="C69" s="34"/>
      <c r="D69" s="35"/>
      <c r="E69" s="36"/>
      <c r="F69" s="36"/>
      <c r="G69" s="37"/>
      <c r="H69" s="34"/>
      <c r="I69" s="34"/>
      <c r="J69" s="41"/>
      <c r="K69" s="39"/>
      <c r="L69" s="40"/>
      <c r="M69" s="41"/>
    </row>
    <row r="70" spans="1:13" s="43" customFormat="1" ht="12.75" x14ac:dyDescent="0.25">
      <c r="A70" s="34"/>
      <c r="B70" s="34"/>
      <c r="C70" s="34"/>
      <c r="D70" s="35"/>
      <c r="E70" s="36"/>
      <c r="F70" s="36"/>
      <c r="G70" s="37"/>
      <c r="H70" s="34"/>
      <c r="I70" s="34"/>
      <c r="J70" s="41"/>
      <c r="K70" s="39"/>
      <c r="L70" s="40"/>
      <c r="M70" s="41"/>
    </row>
    <row r="71" spans="1:13" s="43" customFormat="1" ht="12.75" x14ac:dyDescent="0.25">
      <c r="A71" s="34"/>
      <c r="B71" s="34"/>
      <c r="C71" s="34"/>
      <c r="D71" s="35"/>
      <c r="E71" s="36"/>
      <c r="F71" s="36"/>
      <c r="G71" s="37"/>
      <c r="H71" s="34"/>
      <c r="I71" s="34"/>
      <c r="J71" s="41"/>
      <c r="K71" s="39"/>
      <c r="L71" s="40"/>
      <c r="M71" s="41"/>
    </row>
    <row r="72" spans="1:13" s="15" customFormat="1" ht="12.75" x14ac:dyDescent="0.2">
      <c r="A72" s="47" t="s">
        <v>205</v>
      </c>
      <c r="B72" s="65"/>
      <c r="C72" s="65"/>
      <c r="D72" s="88">
        <f>SUM(D55:D71)</f>
        <v>9.7799999999999988E-3</v>
      </c>
      <c r="E72" s="49">
        <f>SUM(E54:E71)</f>
        <v>1770517.3655723941</v>
      </c>
      <c r="F72" s="68"/>
      <c r="G72" s="68"/>
      <c r="H72" s="65"/>
      <c r="I72" s="65"/>
      <c r="J72" s="47"/>
      <c r="K72" s="49">
        <f>SUM(K54:K71)</f>
        <v>1780008</v>
      </c>
      <c r="L72" s="52">
        <f>'Oct 16'!$K72/$K$2</f>
        <v>9.8520953047015625E-3</v>
      </c>
      <c r="M72" s="59"/>
    </row>
    <row r="73" spans="1:13" s="2" customFormat="1" ht="12.75" x14ac:dyDescent="0.2">
      <c r="A73" s="34"/>
      <c r="B73" s="61"/>
      <c r="C73" s="61"/>
      <c r="D73" s="74"/>
      <c r="E73" s="36"/>
      <c r="F73" s="36"/>
      <c r="G73" s="37"/>
      <c r="H73" s="61"/>
      <c r="I73" s="61"/>
      <c r="J73" s="34"/>
      <c r="K73" s="34"/>
      <c r="L73" s="40"/>
      <c r="M73" s="62"/>
    </row>
    <row r="74" spans="1:13" s="43" customFormat="1" ht="25.5" x14ac:dyDescent="0.25">
      <c r="A74" s="47" t="s">
        <v>206</v>
      </c>
      <c r="B74" s="54" t="s">
        <v>207</v>
      </c>
      <c r="C74" s="54" t="s">
        <v>119</v>
      </c>
      <c r="D74" s="55">
        <v>0</v>
      </c>
      <c r="E74" s="56">
        <f>'Oct 16'!$D74*$C$6*$C$2</f>
        <v>0</v>
      </c>
      <c r="F74" s="56">
        <v>27772.7352941176</v>
      </c>
      <c r="G74" s="57">
        <f>'Oct 16'!$E74/'Oct 16'!$F74</f>
        <v>0</v>
      </c>
      <c r="H74" s="54">
        <v>68</v>
      </c>
      <c r="I74" s="54">
        <v>0</v>
      </c>
      <c r="J74" s="75">
        <f>I74-H74</f>
        <v>-68</v>
      </c>
      <c r="K74" s="56">
        <f>'Oct 16'!$F74*'Oct 16'!$I74</f>
        <v>0</v>
      </c>
      <c r="L74" s="76">
        <f>'Oct 16'!$K74/$K$2</f>
        <v>0</v>
      </c>
      <c r="M74" s="54"/>
    </row>
    <row r="75" spans="1:13" s="43" customFormat="1" ht="25.5" x14ac:dyDescent="0.25">
      <c r="A75" s="47" t="s">
        <v>206</v>
      </c>
      <c r="B75" s="54" t="s">
        <v>118</v>
      </c>
      <c r="C75" s="54" t="s">
        <v>119</v>
      </c>
      <c r="D75" s="55">
        <v>1.1561E-2</v>
      </c>
      <c r="E75" s="56">
        <f>'Oct 16'!$D75*$C$6*$C$2</f>
        <v>2092939.8019818452</v>
      </c>
      <c r="F75" s="56">
        <v>28900</v>
      </c>
      <c r="G75" s="57">
        <f>'Oct 16'!$E75/'Oct 16'!$F75</f>
        <v>72.420062352312982</v>
      </c>
      <c r="H75" s="54">
        <v>0</v>
      </c>
      <c r="I75" s="54">
        <v>72</v>
      </c>
      <c r="J75" s="75">
        <f>I75-H75</f>
        <v>72</v>
      </c>
      <c r="K75" s="56">
        <f>'Oct 16'!$F75*'Oct 16'!$I75</f>
        <v>2080800</v>
      </c>
      <c r="L75" s="76">
        <f>'Oct 16'!$K75/$K$2</f>
        <v>1.1516936951981683E-2</v>
      </c>
      <c r="M75" s="54"/>
    </row>
    <row r="76" spans="1:13" s="2" customFormat="1" ht="12.75" x14ac:dyDescent="0.2">
      <c r="A76" s="34"/>
      <c r="B76" s="61"/>
      <c r="C76" s="61"/>
      <c r="D76" s="74"/>
      <c r="E76" s="36"/>
      <c r="F76" s="36"/>
      <c r="G76" s="37"/>
      <c r="H76" s="61"/>
      <c r="I76" s="61"/>
      <c r="J76" s="34"/>
      <c r="K76" s="34"/>
      <c r="L76" s="40"/>
      <c r="M76" s="62"/>
    </row>
    <row r="77" spans="1:13" s="2" customFormat="1" ht="12.75" x14ac:dyDescent="0.2">
      <c r="A77" s="34"/>
      <c r="B77" s="61"/>
      <c r="C77" s="61"/>
      <c r="D77" s="77"/>
      <c r="E77" s="63"/>
      <c r="F77" s="36"/>
      <c r="G77" s="37"/>
      <c r="H77" s="61"/>
      <c r="I77" s="61"/>
      <c r="J77" s="34"/>
      <c r="K77" s="34"/>
      <c r="L77" s="40"/>
      <c r="M77" s="62"/>
    </row>
    <row r="78" spans="1:13" s="15" customFormat="1" ht="12.75" x14ac:dyDescent="0.2">
      <c r="A78" s="47" t="s">
        <v>208</v>
      </c>
      <c r="B78" s="65"/>
      <c r="C78" s="65"/>
      <c r="D78" s="65"/>
      <c r="E78" s="78"/>
      <c r="F78" s="78"/>
      <c r="G78" s="47"/>
      <c r="H78" s="65"/>
      <c r="I78" s="65"/>
      <c r="J78" s="65"/>
      <c r="K78" s="78">
        <f>SUM(K25,K27,K42,K52,K72,K74:K75)</f>
        <v>180673039.0793677</v>
      </c>
      <c r="L78" s="52">
        <f>'Oct 16'!$K78/$K$2</f>
        <v>1.0000000000000002</v>
      </c>
      <c r="M78" s="65"/>
    </row>
    <row r="79" spans="1:13" s="2" customFormat="1" ht="12.75" x14ac:dyDescent="0.2">
      <c r="A79" s="62"/>
      <c r="B79" s="62"/>
      <c r="C79" s="62"/>
      <c r="D79" s="79"/>
      <c r="E79" s="80"/>
      <c r="F79" s="36"/>
      <c r="G79" s="81"/>
      <c r="H79" s="62"/>
      <c r="I79" s="62"/>
      <c r="J79" s="62"/>
      <c r="K79" s="62"/>
      <c r="L79" s="40"/>
      <c r="M79" s="62"/>
    </row>
    <row r="80" spans="1:13" s="2" customFormat="1" ht="12.75" x14ac:dyDescent="0.2">
      <c r="A80" s="62"/>
      <c r="B80" s="62"/>
      <c r="C80" s="62"/>
      <c r="D80" s="79"/>
      <c r="E80" s="80"/>
      <c r="F80" s="36"/>
      <c r="G80" s="81"/>
      <c r="H80" s="62"/>
      <c r="I80" s="62"/>
      <c r="J80" s="62"/>
      <c r="K80" s="62"/>
      <c r="L80" s="40"/>
      <c r="M80" s="62"/>
    </row>
    <row r="81" spans="1:13" s="2" customFormat="1" ht="12.75" x14ac:dyDescent="0.2">
      <c r="A81" s="62"/>
      <c r="B81" s="62"/>
      <c r="C81" s="62"/>
      <c r="D81" s="79"/>
      <c r="E81" s="80"/>
      <c r="F81" s="36"/>
      <c r="G81" s="81"/>
      <c r="H81" s="62"/>
      <c r="I81" s="62"/>
      <c r="J81" s="62"/>
      <c r="K81" s="62"/>
      <c r="L81" s="40"/>
      <c r="M81" s="62"/>
    </row>
    <row r="82" spans="1:13" s="2" customFormat="1" ht="12.75" x14ac:dyDescent="0.2">
      <c r="A82" s="62"/>
      <c r="B82" s="62"/>
      <c r="C82" s="62"/>
      <c r="D82" s="79"/>
      <c r="E82" s="80"/>
      <c r="F82" s="36"/>
      <c r="G82" s="81"/>
      <c r="H82" s="62"/>
      <c r="I82" s="62"/>
      <c r="J82" s="62"/>
      <c r="K82" s="62"/>
      <c r="L82" s="40"/>
      <c r="M82" s="62"/>
    </row>
    <row r="83" spans="1:13" s="2" customFormat="1" ht="12.75" x14ac:dyDescent="0.2">
      <c r="A83" s="62"/>
      <c r="B83" s="62"/>
      <c r="C83" s="62"/>
      <c r="D83" s="79"/>
      <c r="E83" s="80"/>
      <c r="F83" s="36"/>
      <c r="G83" s="81"/>
      <c r="H83" s="62"/>
      <c r="I83" s="62"/>
      <c r="J83" s="62"/>
      <c r="K83" s="62"/>
      <c r="L83" s="40"/>
      <c r="M83" s="62"/>
    </row>
    <row r="84" spans="1:13" s="2" customFormat="1" ht="12.75" x14ac:dyDescent="0.2">
      <c r="A84" s="62"/>
      <c r="B84" s="62"/>
      <c r="C84" s="62"/>
      <c r="D84" s="79"/>
      <c r="E84" s="80"/>
      <c r="F84" s="36"/>
      <c r="G84" s="81"/>
      <c r="H84" s="62"/>
      <c r="I84" s="62"/>
      <c r="J84" s="62"/>
      <c r="K84" s="62"/>
      <c r="L84" s="40"/>
      <c r="M84" s="62"/>
    </row>
    <row r="85" spans="1:13" s="2" customFormat="1" ht="12.75" x14ac:dyDescent="0.2">
      <c r="A85" s="62"/>
      <c r="B85" s="62"/>
      <c r="C85" s="62"/>
      <c r="D85" s="79"/>
      <c r="E85" s="80"/>
      <c r="F85" s="36"/>
      <c r="G85" s="81"/>
      <c r="H85" s="62"/>
      <c r="I85" s="62"/>
      <c r="J85" s="62"/>
      <c r="K85" s="62"/>
      <c r="L85" s="40"/>
      <c r="M85" s="62"/>
    </row>
    <row r="86" spans="1:13" s="2" customFormat="1" ht="12.75" x14ac:dyDescent="0.2">
      <c r="A86" s="62"/>
      <c r="B86" s="62"/>
      <c r="C86" s="62"/>
      <c r="D86" s="79"/>
      <c r="E86" s="80"/>
      <c r="F86" s="36"/>
      <c r="G86" s="81"/>
      <c r="H86" s="62"/>
      <c r="I86" s="62"/>
      <c r="J86" s="62"/>
      <c r="K86" s="62"/>
      <c r="L86" s="40"/>
      <c r="M86" s="62"/>
    </row>
    <row r="87" spans="1:13" s="2" customFormat="1" ht="12.75" x14ac:dyDescent="0.2">
      <c r="A87" s="62"/>
      <c r="B87" s="62"/>
      <c r="C87" s="62"/>
      <c r="D87" s="79"/>
      <c r="E87" s="80"/>
      <c r="F87" s="36"/>
      <c r="G87" s="81"/>
      <c r="H87" s="62"/>
      <c r="I87" s="62"/>
      <c r="J87" s="62"/>
      <c r="K87" s="62"/>
      <c r="L87" s="40"/>
      <c r="M87" s="62"/>
    </row>
    <row r="88" spans="1:13" s="2" customFormat="1" ht="12.75" x14ac:dyDescent="0.2"/>
    <row r="89" spans="1:13" s="2" customFormat="1" ht="12.75" x14ac:dyDescent="0.2"/>
    <row r="91" spans="1:13" s="2" customFormat="1" ht="12.75" x14ac:dyDescent="0.2">
      <c r="A91" s="82"/>
      <c r="B91" s="82"/>
      <c r="E91" s="82"/>
      <c r="F91" s="82"/>
      <c r="G91" s="82"/>
      <c r="H91" s="83"/>
      <c r="M91" s="82"/>
    </row>
    <row r="92" spans="1:13" s="2" customFormat="1" ht="12.75" x14ac:dyDescent="0.2">
      <c r="A92" s="82"/>
      <c r="B92" s="82"/>
      <c r="E92" s="82"/>
      <c r="F92" s="82"/>
      <c r="G92" s="82"/>
      <c r="H92" s="83"/>
      <c r="M92" s="82"/>
    </row>
    <row r="93" spans="1:13" s="2" customFormat="1" ht="12.75" x14ac:dyDescent="0.2">
      <c r="A93" s="84"/>
      <c r="B93" s="84"/>
    </row>
    <row r="94" spans="1:13" s="2" customFormat="1" ht="12.75" x14ac:dyDescent="0.2">
      <c r="A94" s="85"/>
      <c r="B94" s="85"/>
      <c r="E94" s="85"/>
      <c r="F94" s="84"/>
      <c r="G94" s="84"/>
      <c r="M94" s="86"/>
    </row>
    <row r="95" spans="1:13" s="2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H97"/>
  <sheetViews>
    <sheetView zoomScale="125" zoomScaleNormal="125" workbookViewId="0">
      <pane xSplit="2" topLeftCell="C1" activePane="topRight" state="frozen"/>
      <selection pane="topRight" activeCell="D24" sqref="D24"/>
    </sheetView>
  </sheetViews>
  <sheetFormatPr defaultColWidth="9.140625" defaultRowHeight="15" x14ac:dyDescent="0.25"/>
  <cols>
    <col min="1" max="2" width="15.140625" style="2" customWidth="1"/>
    <col min="3" max="3" width="29.28515625" style="2" customWidth="1"/>
    <col min="4" max="4" width="14.85546875" style="2" customWidth="1"/>
    <col min="5" max="5" width="27.42578125" style="2" customWidth="1"/>
    <col min="6" max="7" width="13.7109375" style="2" customWidth="1"/>
    <col min="8" max="8" width="16.5703125" style="2" customWidth="1"/>
    <col min="9" max="9" width="15.5703125" style="2" customWidth="1"/>
    <col min="10" max="10" width="13.42578125" customWidth="1"/>
    <col min="11" max="11" width="23.5703125" customWidth="1"/>
    <col min="12" max="12" width="13.42578125" customWidth="1"/>
    <col min="13" max="13" width="22.5703125" style="2" customWidth="1"/>
    <col min="14" max="16" width="10.85546875" style="2" customWidth="1"/>
    <col min="17" max="17" width="11.28515625" style="2" customWidth="1"/>
    <col min="18" max="1022" width="9.140625" style="2"/>
  </cols>
  <sheetData>
    <row r="1" spans="1:17" s="2" customFormat="1" ht="25.5" x14ac:dyDescent="0.2">
      <c r="A1" s="3"/>
      <c r="B1" s="3" t="s">
        <v>138</v>
      </c>
      <c r="C1" s="4">
        <v>44123</v>
      </c>
      <c r="D1" s="5"/>
      <c r="E1" s="6" t="s">
        <v>139</v>
      </c>
      <c r="F1" s="7"/>
      <c r="G1" s="8"/>
      <c r="K1" s="9" t="s">
        <v>140</v>
      </c>
      <c r="L1" s="9" t="s">
        <v>141</v>
      </c>
      <c r="M1" s="10" t="s">
        <v>142</v>
      </c>
    </row>
    <row r="2" spans="1:17" x14ac:dyDescent="0.25">
      <c r="A2" s="3"/>
      <c r="B2" s="3" t="s">
        <v>143</v>
      </c>
      <c r="C2" s="11">
        <v>9.1999999999999993</v>
      </c>
      <c r="D2" s="12"/>
      <c r="E2" s="13">
        <f>SUM(E29,E46,E56,E75,E31,E77)</f>
        <v>185267058.6436823</v>
      </c>
      <c r="F2" s="14"/>
      <c r="G2" s="15"/>
      <c r="H2" s="12"/>
      <c r="I2" s="12"/>
      <c r="J2" s="12"/>
      <c r="K2" s="13">
        <f>SUM(K29,K46,K56,K75,K31,K77:K77)</f>
        <v>185714641.37392023</v>
      </c>
      <c r="L2" s="16">
        <f>SUM(L56,L75,L46,L29,L31,L77)</f>
        <v>0.99999999999999989</v>
      </c>
      <c r="M2" s="17">
        <f>K2/$C$6</f>
        <v>9.2222814168725602</v>
      </c>
      <c r="N2" s="18"/>
    </row>
    <row r="3" spans="1:17" ht="26.25" x14ac:dyDescent="0.25">
      <c r="A3" s="3"/>
      <c r="B3" s="3" t="s">
        <v>144</v>
      </c>
      <c r="C3" s="19">
        <v>20137602.940000001</v>
      </c>
      <c r="D3" s="20"/>
      <c r="E3" s="6" t="s">
        <v>145</v>
      </c>
      <c r="F3" s="14"/>
      <c r="G3" s="15"/>
      <c r="H3" s="12"/>
      <c r="I3" s="12"/>
      <c r="J3" s="12"/>
      <c r="K3" s="6" t="s">
        <v>145</v>
      </c>
      <c r="L3" s="12"/>
      <c r="M3" s="10" t="s">
        <v>146</v>
      </c>
      <c r="N3" s="21"/>
    </row>
    <row r="4" spans="1:17" x14ac:dyDescent="0.25">
      <c r="A4" s="3"/>
      <c r="B4" s="3" t="s">
        <v>147</v>
      </c>
      <c r="C4" s="19">
        <v>0</v>
      </c>
      <c r="D4" s="20"/>
      <c r="E4" s="13">
        <f>SUM(E29,E75,E31)</f>
        <v>36232461.26417736</v>
      </c>
      <c r="F4" s="14"/>
      <c r="G4" s="15"/>
      <c r="H4" s="12"/>
      <c r="I4" s="12"/>
      <c r="J4" s="12"/>
      <c r="K4" s="13">
        <f>SUM(K29,K31,K75)</f>
        <v>36239573.938467622</v>
      </c>
      <c r="L4" s="12"/>
      <c r="M4" s="17">
        <f>K4/$C$6</f>
        <v>1.799597203621675</v>
      </c>
      <c r="N4" s="21"/>
    </row>
    <row r="5" spans="1:17" x14ac:dyDescent="0.25">
      <c r="A5" s="3"/>
      <c r="B5" s="3" t="s">
        <v>148</v>
      </c>
      <c r="C5" s="19">
        <v>0</v>
      </c>
      <c r="D5" s="20"/>
      <c r="E5" s="14"/>
      <c r="F5" s="14"/>
      <c r="G5" s="22">
        <f>SUM(D29,D31,D46,D56,D75,D77:D77)</f>
        <v>1.0000060000000002</v>
      </c>
      <c r="H5" s="12"/>
      <c r="I5" s="12"/>
      <c r="J5" s="12"/>
      <c r="K5" s="12"/>
      <c r="L5" s="12"/>
      <c r="M5" s="12"/>
      <c r="N5" s="21"/>
    </row>
    <row r="6" spans="1:17" x14ac:dyDescent="0.25">
      <c r="A6" s="3"/>
      <c r="B6" s="3" t="s">
        <v>149</v>
      </c>
      <c r="C6" s="19">
        <f>C3+C4-C5</f>
        <v>20137602.940000001</v>
      </c>
      <c r="D6" s="20"/>
      <c r="E6" s="14"/>
      <c r="F6" s="14"/>
      <c r="G6" s="15"/>
      <c r="H6" s="12"/>
      <c r="I6" s="12"/>
      <c r="J6" s="12"/>
      <c r="K6" s="12"/>
      <c r="L6" s="12"/>
      <c r="M6" s="12"/>
      <c r="N6" s="21"/>
    </row>
    <row r="7" spans="1:17" x14ac:dyDescent="0.25">
      <c r="A7" s="23"/>
      <c r="B7" s="24"/>
      <c r="C7" s="24"/>
      <c r="D7" s="25"/>
      <c r="E7" s="26"/>
      <c r="F7" s="26"/>
      <c r="G7" s="26"/>
      <c r="H7" s="27"/>
      <c r="I7" s="27"/>
      <c r="J7" s="27"/>
      <c r="K7" s="12"/>
      <c r="L7" s="12"/>
      <c r="M7" s="12"/>
      <c r="N7" s="21"/>
    </row>
    <row r="8" spans="1:17" s="32" customFormat="1" ht="38.25" x14ac:dyDescent="0.2">
      <c r="A8" s="28" t="s">
        <v>150</v>
      </c>
      <c r="B8" s="28" t="s">
        <v>151</v>
      </c>
      <c r="C8" s="29" t="s">
        <v>1</v>
      </c>
      <c r="D8" s="29" t="s">
        <v>152</v>
      </c>
      <c r="E8" s="29" t="s">
        <v>153</v>
      </c>
      <c r="F8" s="29" t="s">
        <v>154</v>
      </c>
      <c r="G8" s="29" t="s">
        <v>155</v>
      </c>
      <c r="H8" s="29" t="s">
        <v>156</v>
      </c>
      <c r="I8" s="29" t="s">
        <v>157</v>
      </c>
      <c r="J8" s="29" t="s">
        <v>158</v>
      </c>
      <c r="K8" s="30" t="s">
        <v>159</v>
      </c>
      <c r="L8" s="30" t="s">
        <v>160</v>
      </c>
      <c r="M8" s="30" t="s">
        <v>161</v>
      </c>
      <c r="N8" s="31"/>
      <c r="Q8" s="33"/>
    </row>
    <row r="9" spans="1:17" s="43" customFormat="1" ht="12.75" x14ac:dyDescent="0.25">
      <c r="A9" s="34" t="s">
        <v>162</v>
      </c>
      <c r="B9" s="34" t="s">
        <v>46</v>
      </c>
      <c r="C9" s="34" t="s">
        <v>47</v>
      </c>
      <c r="D9" s="35">
        <v>1.2787E-2</v>
      </c>
      <c r="E9" s="36">
        <f>'Oct 19'!$D9*$C$6*$C$2</f>
        <v>2368995.664902776</v>
      </c>
      <c r="F9" s="36">
        <v>558.50013078734003</v>
      </c>
      <c r="G9" s="37">
        <f>'Oct 19'!$E9/'Oct 19'!$F9</f>
        <v>4241.7101345403589</v>
      </c>
      <c r="H9" s="34">
        <v>3823</v>
      </c>
      <c r="I9" s="34">
        <f>ROUND(Table13895845679910111213144562678910111213141516171819202134567891011121314[[#This Row],[Target Quantity]],0)</f>
        <v>4242</v>
      </c>
      <c r="J9" s="38">
        <f t="shared" ref="J9:J27" si="0">I9-H9</f>
        <v>419</v>
      </c>
      <c r="K9" s="39">
        <f>'Oct 19'!$F9*'Oct 19'!$I9</f>
        <v>2369157.5547998962</v>
      </c>
      <c r="L9" s="40">
        <f>'Oct 19'!$K9/$K$2</f>
        <v>1.2756977787388362E-2</v>
      </c>
      <c r="M9" s="41"/>
      <c r="N9" s="42"/>
      <c r="O9" s="87"/>
    </row>
    <row r="10" spans="1:17" s="43" customFormat="1" ht="12.75" customHeight="1" x14ac:dyDescent="0.25">
      <c r="A10" s="34" t="s">
        <v>162</v>
      </c>
      <c r="B10" s="34" t="s">
        <v>55</v>
      </c>
      <c r="C10" s="34" t="s">
        <v>56</v>
      </c>
      <c r="D10" s="35">
        <v>1.2787E-2</v>
      </c>
      <c r="E10" s="36">
        <f>'Oct 19'!$D10*$C$6*$C$2</f>
        <v>2368995.664902776</v>
      </c>
      <c r="F10" s="36">
        <v>447.179895287958</v>
      </c>
      <c r="G10" s="37">
        <f>'Oct 19'!$E10/'Oct 19'!$F10</f>
        <v>5297.6345534883221</v>
      </c>
      <c r="H10" s="34">
        <v>4775</v>
      </c>
      <c r="I10" s="34">
        <f>ROUND(Table13895845679910111213144562678910111213141516171819202134567891011121314[[#This Row],[Target Quantity]],0)</f>
        <v>5298</v>
      </c>
      <c r="J10" s="38">
        <f t="shared" si="0"/>
        <v>523</v>
      </c>
      <c r="K10" s="39">
        <f>'Oct 19'!$F10*'Oct 19'!$I10</f>
        <v>2369159.0852356013</v>
      </c>
      <c r="L10" s="40">
        <f>'Oct 19'!$K10/$K$2</f>
        <v>1.2756986028180223E-2</v>
      </c>
      <c r="M10" s="41"/>
    </row>
    <row r="11" spans="1:17" s="43" customFormat="1" ht="12.75" customHeight="1" x14ac:dyDescent="0.25">
      <c r="A11" s="34" t="s">
        <v>162</v>
      </c>
      <c r="B11" s="34" t="s">
        <v>37</v>
      </c>
      <c r="C11" s="34" t="s">
        <v>38</v>
      </c>
      <c r="D11" s="35">
        <v>1.2787E-2</v>
      </c>
      <c r="E11" s="36">
        <f>'Oct 19'!$D11*$C$6*$C$2</f>
        <v>2368995.664902776</v>
      </c>
      <c r="F11" s="36">
        <v>82.250018895019295</v>
      </c>
      <c r="G11" s="37">
        <f>'Oct 19'!$E11/'Oct 19'!$F11</f>
        <v>28802.372287919708</v>
      </c>
      <c r="H11" s="34">
        <v>26462</v>
      </c>
      <c r="I11" s="34">
        <f>ROUND(Table13895845679910111213144562678910111213141516171819202134567891011121314[[#This Row],[Target Quantity]],0)</f>
        <v>28802</v>
      </c>
      <c r="J11" s="38">
        <f t="shared" si="0"/>
        <v>2340</v>
      </c>
      <c r="K11" s="39">
        <f>'Oct 19'!$F11*'Oct 19'!$I11</f>
        <v>2368965.0442143455</v>
      </c>
      <c r="L11" s="40">
        <f>'Oct 19'!$K11/$K$2</f>
        <v>1.2755941193912875E-2</v>
      </c>
      <c r="M11" s="41"/>
    </row>
    <row r="12" spans="1:17" s="44" customFormat="1" ht="12.75" customHeight="1" x14ac:dyDescent="0.25">
      <c r="A12" s="34" t="s">
        <v>162</v>
      </c>
      <c r="B12" s="34" t="s">
        <v>23</v>
      </c>
      <c r="C12" s="34" t="s">
        <v>24</v>
      </c>
      <c r="D12" s="35">
        <v>1.2787E-2</v>
      </c>
      <c r="E12" s="36">
        <f>'Oct 19'!$D12*$C$6*$C$2</f>
        <v>2368995.664902776</v>
      </c>
      <c r="F12" s="36">
        <v>237.78994513492299</v>
      </c>
      <c r="G12" s="37">
        <f>'Oct 19'!$E12/'Oct 19'!$F12</f>
        <v>9962.5560851977916</v>
      </c>
      <c r="H12" s="34">
        <v>8931</v>
      </c>
      <c r="I12" s="34">
        <f>ROUND(Table13895845679910111213144562678910111213141516171819202134567891011121314[[#This Row],[Target Quantity]],0)</f>
        <v>9963</v>
      </c>
      <c r="J12" s="38">
        <f t="shared" si="0"/>
        <v>1032</v>
      </c>
      <c r="K12" s="39">
        <f>'Oct 19'!$F12*'Oct 19'!$I12</f>
        <v>2369101.2233792376</v>
      </c>
      <c r="L12" s="40">
        <f>'Oct 19'!$K12/$K$2</f>
        <v>1.2756674464934937E-2</v>
      </c>
      <c r="M12" s="34"/>
    </row>
    <row r="13" spans="1:17" s="44" customFormat="1" ht="12.75" customHeight="1" x14ac:dyDescent="0.25">
      <c r="A13" s="34" t="s">
        <v>162</v>
      </c>
      <c r="B13" s="34" t="s">
        <v>60</v>
      </c>
      <c r="C13" s="34" t="s">
        <v>61</v>
      </c>
      <c r="D13" s="35">
        <v>1.2787E-2</v>
      </c>
      <c r="E13" s="36">
        <f>'Oct 19'!$D13*$C$6*$C$2</f>
        <v>2368995.664902776</v>
      </c>
      <c r="F13" s="36">
        <v>568.20000000000005</v>
      </c>
      <c r="G13" s="37">
        <f>'Oct 19'!$E13/'Oct 19'!$F13</f>
        <v>4169.2989526624006</v>
      </c>
      <c r="H13" s="34">
        <v>3940</v>
      </c>
      <c r="I13" s="34">
        <f>ROUND(Table13895845679910111213144562678910111213141516171819202134567891011121314[[#This Row],[Target Quantity]],0)</f>
        <v>4169</v>
      </c>
      <c r="J13" s="38">
        <f t="shared" si="0"/>
        <v>229</v>
      </c>
      <c r="K13" s="39">
        <f>'Oct 19'!$F13*'Oct 19'!$I13</f>
        <v>2368825.8000000003</v>
      </c>
      <c r="L13" s="40">
        <f>'Oct 19'!$K13/$K$2</f>
        <v>1.2755191418809981E-2</v>
      </c>
      <c r="M13" s="34"/>
    </row>
    <row r="14" spans="1:17" s="44" customFormat="1" ht="12.75" customHeight="1" x14ac:dyDescent="0.25">
      <c r="A14" s="34" t="s">
        <v>162</v>
      </c>
      <c r="B14" s="34" t="s">
        <v>163</v>
      </c>
      <c r="C14" s="34" t="s">
        <v>164</v>
      </c>
      <c r="D14" s="35">
        <v>0</v>
      </c>
      <c r="E14" s="36">
        <f>'Oct 19'!$D14*$C$6*$C$2</f>
        <v>0</v>
      </c>
      <c r="F14" s="36">
        <v>3320</v>
      </c>
      <c r="G14" s="37">
        <f>'Oct 19'!$E14/'Oct 19'!$F14</f>
        <v>0</v>
      </c>
      <c r="H14" s="34">
        <v>641</v>
      </c>
      <c r="I14" s="34">
        <f>ROUND(Table13895845679910111213144562678910111213141516171819202134567891011121314[[#This Row],[Target Quantity]],0)</f>
        <v>0</v>
      </c>
      <c r="J14" s="38">
        <f t="shared" si="0"/>
        <v>-641</v>
      </c>
      <c r="K14" s="39">
        <f>'Oct 19'!$F14*'Oct 19'!$I14</f>
        <v>0</v>
      </c>
      <c r="L14" s="40">
        <f>'Oct 19'!$K14/$K$2</f>
        <v>0</v>
      </c>
      <c r="M14" s="34"/>
    </row>
    <row r="15" spans="1:17" s="44" customFormat="1" ht="12.75" customHeight="1" x14ac:dyDescent="0.25">
      <c r="A15" s="34" t="s">
        <v>162</v>
      </c>
      <c r="B15" s="34" t="s">
        <v>165</v>
      </c>
      <c r="C15" s="34" t="s">
        <v>166</v>
      </c>
      <c r="D15" s="35">
        <v>1.2787E-2</v>
      </c>
      <c r="E15" s="36">
        <f>'Oct 19'!$D15*$C$6*$C$2</f>
        <v>2368995.664902776</v>
      </c>
      <c r="F15" s="36">
        <v>292.05997286295798</v>
      </c>
      <c r="G15" s="37">
        <f>'Oct 19'!$E15/'Oct 19'!$F15</f>
        <v>8111.3328939956091</v>
      </c>
      <c r="H15" s="34">
        <v>7370</v>
      </c>
      <c r="I15" s="34">
        <f>ROUND(Table13895845679910111213144562678910111213141516171819202134567891011121314[[#This Row],[Target Quantity]],0)</f>
        <v>8111</v>
      </c>
      <c r="J15" s="38">
        <f t="shared" si="0"/>
        <v>741</v>
      </c>
      <c r="K15" s="39">
        <f>'Oct 19'!$F15*'Oct 19'!$I15</f>
        <v>2368898.439891452</v>
      </c>
      <c r="L15" s="40">
        <f>'Oct 19'!$K15/$K$2</f>
        <v>1.2755582555937965E-2</v>
      </c>
      <c r="M15" s="34"/>
    </row>
    <row r="16" spans="1:17" s="44" customFormat="1" ht="12.75" customHeight="1" x14ac:dyDescent="0.25">
      <c r="A16" s="34" t="s">
        <v>162</v>
      </c>
      <c r="B16" s="34" t="s">
        <v>43</v>
      </c>
      <c r="C16" s="34" t="s">
        <v>44</v>
      </c>
      <c r="D16" s="35">
        <v>1.2787E-2</v>
      </c>
      <c r="E16" s="36">
        <f>'Oct 19'!$D16*$C$6*$C$2</f>
        <v>2368995.664902776</v>
      </c>
      <c r="F16" s="36">
        <v>1271.38019917985</v>
      </c>
      <c r="G16" s="37">
        <f>'Oct 19'!$E16/'Oct 19'!$F16</f>
        <v>1863.3259086707365</v>
      </c>
      <c r="H16" s="34">
        <v>1707</v>
      </c>
      <c r="I16" s="34">
        <f>ROUND(Table13895845679910111213144562678910111213141516171819202134567891011121314[[#This Row],[Target Quantity]],0)</f>
        <v>1863</v>
      </c>
      <c r="J16" s="38">
        <f t="shared" si="0"/>
        <v>156</v>
      </c>
      <c r="K16" s="39">
        <f>'Oct 19'!$F16*'Oct 19'!$I16</f>
        <v>2368581.3110720604</v>
      </c>
      <c r="L16" s="40">
        <f>'Oct 19'!$K16/$K$2</f>
        <v>1.2753874942488398E-2</v>
      </c>
      <c r="M16" s="34"/>
    </row>
    <row r="17" spans="1:15" s="44" customFormat="1" ht="12.75" customHeight="1" x14ac:dyDescent="0.25">
      <c r="A17" s="34" t="s">
        <v>162</v>
      </c>
      <c r="B17" s="34" t="s">
        <v>167</v>
      </c>
      <c r="C17" s="34" t="s">
        <v>168</v>
      </c>
      <c r="D17" s="35">
        <v>1.2787E-2</v>
      </c>
      <c r="E17" s="36">
        <f>'Oct 19'!$D17*$C$6*$C$2</f>
        <v>2368995.664902776</v>
      </c>
      <c r="F17" s="36">
        <v>175.30002431315299</v>
      </c>
      <c r="G17" s="37">
        <f>'Oct 19'!$E17/'Oct 19'!$F17</f>
        <v>13513.949437170884</v>
      </c>
      <c r="H17" s="34">
        <v>12339</v>
      </c>
      <c r="I17" s="34">
        <f>ROUND(Table13895845679910111213144562678910111213141516171819202134567891011121314[[#This Row],[Target Quantity]],0)</f>
        <v>13514</v>
      </c>
      <c r="J17" s="38">
        <f t="shared" si="0"/>
        <v>1175</v>
      </c>
      <c r="K17" s="39">
        <f>'Oct 19'!$F17*'Oct 19'!$I17</f>
        <v>2369004.5285679493</v>
      </c>
      <c r="L17" s="40">
        <f>'Oct 19'!$K17/$K$2</f>
        <v>1.2756153801563579E-2</v>
      </c>
      <c r="M17" s="34"/>
    </row>
    <row r="18" spans="1:15" s="44" customFormat="1" ht="12.75" customHeight="1" x14ac:dyDescent="0.25">
      <c r="A18" s="34" t="s">
        <v>162</v>
      </c>
      <c r="B18" s="34" t="s">
        <v>28</v>
      </c>
      <c r="C18" s="34" t="s">
        <v>29</v>
      </c>
      <c r="D18" s="35">
        <v>1.2787E-2</v>
      </c>
      <c r="E18" s="36">
        <f>'Oct 19'!$D18*$C$6*$C$2</f>
        <v>2368995.664902776</v>
      </c>
      <c r="F18" s="36">
        <v>284.31997863247898</v>
      </c>
      <c r="G18" s="37">
        <f>'Oct 19'!$E18/'Oct 19'!$F18</f>
        <v>8332.1463243531507</v>
      </c>
      <c r="H18" s="34">
        <v>7488</v>
      </c>
      <c r="I18" s="34">
        <f>ROUND(Table13895845679910111213144562678910111213141516171819202134567891011121314[[#This Row],[Target Quantity]],0)</f>
        <v>8332</v>
      </c>
      <c r="J18" s="38">
        <f t="shared" si="0"/>
        <v>844</v>
      </c>
      <c r="K18" s="39">
        <f>'Oct 19'!$F18*'Oct 19'!$I18</f>
        <v>2368954.0619658148</v>
      </c>
      <c r="L18" s="40">
        <f>'Oct 19'!$K18/$K$2</f>
        <v>1.2755882058841728E-2</v>
      </c>
      <c r="M18" s="34"/>
    </row>
    <row r="19" spans="1:15" s="44" customFormat="1" ht="12.75" customHeight="1" x14ac:dyDescent="0.25">
      <c r="A19" s="34" t="s">
        <v>162</v>
      </c>
      <c r="B19" s="34" t="s">
        <v>173</v>
      </c>
      <c r="C19" s="34" t="s">
        <v>174</v>
      </c>
      <c r="D19" s="35">
        <v>0</v>
      </c>
      <c r="E19" s="36">
        <f>'Oct 19'!$D19*$C$6*$C$2</f>
        <v>0</v>
      </c>
      <c r="F19" s="36">
        <v>83.780003105107895</v>
      </c>
      <c r="G19" s="37">
        <f>'Oct 19'!$E19/'Oct 19'!$F19</f>
        <v>0</v>
      </c>
      <c r="H19" s="34">
        <v>25764</v>
      </c>
      <c r="I19" s="34">
        <f>ROUND(Table13895845679910111213144562678910111213141516171819202134567891011121314[[#This Row],[Target Quantity]],0)</f>
        <v>0</v>
      </c>
      <c r="J19" s="38">
        <f t="shared" si="0"/>
        <v>-25764</v>
      </c>
      <c r="K19" s="39">
        <f>'Oct 19'!$F19*'Oct 19'!$I19</f>
        <v>0</v>
      </c>
      <c r="L19" s="40">
        <f>'Oct 19'!$K19/$K$2</f>
        <v>0</v>
      </c>
      <c r="M19" s="34"/>
    </row>
    <row r="20" spans="1:15" s="44" customFormat="1" ht="12.75" customHeight="1" x14ac:dyDescent="0.25">
      <c r="A20" s="34" t="s">
        <v>162</v>
      </c>
      <c r="B20" s="34" t="s">
        <v>19</v>
      </c>
      <c r="C20" s="34" t="s">
        <v>20</v>
      </c>
      <c r="D20" s="35">
        <v>1.2787E-2</v>
      </c>
      <c r="E20" s="36">
        <f>'Oct 19'!$D20*$C$6*$C$2</f>
        <v>2368995.664902776</v>
      </c>
      <c r="F20" s="36">
        <v>1339.67979987492</v>
      </c>
      <c r="G20" s="37">
        <f>'Oct 19'!$E20/'Oct 19'!$F20</f>
        <v>1768.3297644138238</v>
      </c>
      <c r="H20" s="34">
        <v>1599</v>
      </c>
      <c r="I20" s="34">
        <f>ROUND(Table13895845679910111213144562678910111213141516171819202134567891011121314[[#This Row],[Target Quantity]],0)</f>
        <v>1768</v>
      </c>
      <c r="J20" s="38">
        <f t="shared" si="0"/>
        <v>169</v>
      </c>
      <c r="K20" s="39">
        <f>'Oct 19'!$F20*'Oct 19'!$I20</f>
        <v>2368553.8861788586</v>
      </c>
      <c r="L20" s="40">
        <f>'Oct 19'!$K20/$K$2</f>
        <v>1.2753727270269348E-2</v>
      </c>
      <c r="M20" s="34"/>
    </row>
    <row r="21" spans="1:15" s="44" customFormat="1" ht="12.75" customHeight="1" x14ac:dyDescent="0.25">
      <c r="A21" s="34" t="s">
        <v>162</v>
      </c>
      <c r="B21" s="34" t="s">
        <v>25</v>
      </c>
      <c r="C21" s="34" t="s">
        <v>26</v>
      </c>
      <c r="D21" s="35">
        <v>6.3940000000000004E-3</v>
      </c>
      <c r="E21" s="36">
        <f>'Oct 19'!$D21*$C$6*$C$2</f>
        <v>1184590.4654249121</v>
      </c>
      <c r="F21" s="36">
        <v>17.1500047665957</v>
      </c>
      <c r="G21" s="37">
        <f>'Oct 19'!$E21/'Oct 19'!$F21</f>
        <v>69072.311147821034</v>
      </c>
      <c r="H21" s="34">
        <v>62938</v>
      </c>
      <c r="I21" s="34">
        <f>ROUND(Table13895845679910111213144562678910111213141516171819202134567891011121314[[#This Row],[Target Quantity]],0)</f>
        <v>69072</v>
      </c>
      <c r="J21" s="38">
        <f t="shared" si="0"/>
        <v>6134</v>
      </c>
      <c r="K21" s="39">
        <f>'Oct 19'!$F21*'Oct 19'!$I21</f>
        <v>1184585.1292382982</v>
      </c>
      <c r="L21" s="40">
        <f>'Oct 19'!$K21/$K$2</f>
        <v>6.3785230958351815E-3</v>
      </c>
      <c r="M21" s="34"/>
    </row>
    <row r="22" spans="1:15" s="44" customFormat="1" ht="12.75" customHeight="1" x14ac:dyDescent="0.25">
      <c r="A22" s="34" t="s">
        <v>162</v>
      </c>
      <c r="B22" s="34" t="s">
        <v>209</v>
      </c>
      <c r="C22" s="34" t="s">
        <v>210</v>
      </c>
      <c r="D22" s="35">
        <v>0</v>
      </c>
      <c r="E22" s="36">
        <f>'Oct 19'!$D22*$C$6*$C$2</f>
        <v>0</v>
      </c>
      <c r="F22" s="36">
        <v>192.289926289926</v>
      </c>
      <c r="G22" s="37">
        <f>'Oct 19'!$E22/'Oct 19'!$F22</f>
        <v>0</v>
      </c>
      <c r="H22" s="34">
        <v>5698</v>
      </c>
      <c r="I22" s="34">
        <f>ROUND(Table13895845679910111213144562678910111213141516171819202134567891011121314[[#This Row],[Target Quantity]],0)</f>
        <v>0</v>
      </c>
      <c r="J22" s="38">
        <f t="shared" si="0"/>
        <v>-5698</v>
      </c>
      <c r="K22" s="39">
        <f>'Oct 19'!$F22*'Oct 19'!$I22</f>
        <v>0</v>
      </c>
      <c r="L22" s="40">
        <f>'Oct 19'!$K22/$K$2</f>
        <v>0</v>
      </c>
      <c r="M22" s="34"/>
    </row>
    <row r="23" spans="1:15" s="44" customFormat="1" ht="12.75" customHeight="1" x14ac:dyDescent="0.25">
      <c r="A23" s="34" t="s">
        <v>162</v>
      </c>
      <c r="B23" s="34" t="s">
        <v>211</v>
      </c>
      <c r="C23" s="34" t="s">
        <v>212</v>
      </c>
      <c r="D23" s="35">
        <v>0</v>
      </c>
      <c r="E23" s="36">
        <f>'Oct 19'!$D23*$C$6*$C$2</f>
        <v>0</v>
      </c>
      <c r="F23" s="36">
        <v>119.349988771615</v>
      </c>
      <c r="G23" s="37">
        <f>'Oct 19'!$E23/'Oct 19'!$F23</f>
        <v>0</v>
      </c>
      <c r="H23" s="34">
        <v>17812</v>
      </c>
      <c r="I23" s="34">
        <f>ROUND(Table13895845679910111213144562678910111213141516171819202134567891011121314[[#This Row],[Target Quantity]],0)</f>
        <v>0</v>
      </c>
      <c r="J23" s="38">
        <f t="shared" si="0"/>
        <v>-17812</v>
      </c>
      <c r="K23" s="39">
        <f>'Oct 19'!$F23*'Oct 19'!$I23</f>
        <v>0</v>
      </c>
      <c r="L23" s="40">
        <f>'Oct 19'!$K23/$K$2</f>
        <v>0</v>
      </c>
      <c r="M23" s="34"/>
    </row>
    <row r="24" spans="1:15" s="44" customFormat="1" ht="12.75" customHeight="1" x14ac:dyDescent="0.25">
      <c r="A24" s="34" t="s">
        <v>162</v>
      </c>
      <c r="B24" s="34" t="s">
        <v>214</v>
      </c>
      <c r="C24" s="34" t="s">
        <v>215</v>
      </c>
      <c r="D24" s="35">
        <v>6.3940000000000004E-3</v>
      </c>
      <c r="E24" s="36">
        <f>'Oct 19'!$D24*$C$6*$C$2</f>
        <v>1184590.4654249121</v>
      </c>
      <c r="F24" s="36">
        <v>84.68</v>
      </c>
      <c r="G24" s="37">
        <f>'Oct 19'!$E24/'Oct 19'!$F24</f>
        <v>13989.022973841662</v>
      </c>
      <c r="H24" s="34">
        <v>0</v>
      </c>
      <c r="I24" s="34">
        <f>ROUND(Table13895845679910111213144562678910111213141516171819202134567891011121314[[#This Row],[Target Quantity]],0)</f>
        <v>13989</v>
      </c>
      <c r="J24" s="38">
        <f t="shared" si="0"/>
        <v>13989</v>
      </c>
      <c r="K24" s="39">
        <f>'Oct 19'!$F24*'Oct 19'!$I24</f>
        <v>1184588.52</v>
      </c>
      <c r="L24" s="40">
        <f>'Oct 19'!$K24/$K$2</f>
        <v>6.3785413537478415E-3</v>
      </c>
      <c r="M24" s="34"/>
    </row>
    <row r="25" spans="1:15" s="44" customFormat="1" ht="12.75" customHeight="1" x14ac:dyDescent="0.25">
      <c r="A25" s="34" t="s">
        <v>162</v>
      </c>
      <c r="B25" s="34" t="s">
        <v>216</v>
      </c>
      <c r="C25" s="34" t="s">
        <v>217</v>
      </c>
      <c r="D25" s="35">
        <v>6.3940000000000004E-3</v>
      </c>
      <c r="E25" s="36">
        <f>'Oct 19'!$D25*$C$6*$C$2</f>
        <v>1184590.4654249121</v>
      </c>
      <c r="F25" s="36">
        <v>77.09</v>
      </c>
      <c r="G25" s="37">
        <f>'Oct 19'!$E25/'Oct 19'!$F25</f>
        <v>15366.331112010792</v>
      </c>
      <c r="H25" s="34">
        <v>0</v>
      </c>
      <c r="I25" s="34">
        <f>ROUND(Table13895845679910111213144562678910111213141516171819202134567891011121314[[#This Row],[Target Quantity]],0)</f>
        <v>15366</v>
      </c>
      <c r="J25" s="38">
        <f t="shared" si="0"/>
        <v>15366</v>
      </c>
      <c r="K25" s="39">
        <f>'Oct 19'!$F25*'Oct 19'!$I25</f>
        <v>1184564.94</v>
      </c>
      <c r="L25" s="40">
        <f>'Oct 19'!$K25/$K$2</f>
        <v>6.3784143847602287E-3</v>
      </c>
      <c r="M25" s="34"/>
    </row>
    <row r="26" spans="1:15" s="44" customFormat="1" ht="12.75" customHeight="1" x14ac:dyDescent="0.25">
      <c r="A26" s="34" t="s">
        <v>162</v>
      </c>
      <c r="B26" s="34" t="s">
        <v>218</v>
      </c>
      <c r="C26" s="34" t="s">
        <v>219</v>
      </c>
      <c r="D26" s="35">
        <v>1.2787E-2</v>
      </c>
      <c r="E26" s="36">
        <f>'Oct 19'!$D26*$C$6*$C$2</f>
        <v>2368995.664902776</v>
      </c>
      <c r="F26" s="36">
        <v>178.13</v>
      </c>
      <c r="G26" s="37">
        <f>'Oct 19'!$E26/'Oct 19'!$F26</f>
        <v>13299.251473097042</v>
      </c>
      <c r="H26" s="34">
        <v>0</v>
      </c>
      <c r="I26" s="34">
        <f>ROUND(Table13895845679910111213144562678910111213141516171819202134567891011121314[[#This Row],[Target Quantity]],0)</f>
        <v>13299</v>
      </c>
      <c r="J26" s="38">
        <f t="shared" si="0"/>
        <v>13299</v>
      </c>
      <c r="K26" s="39">
        <f>'Oct 19'!$F26*'Oct 19'!$I26</f>
        <v>2368950.87</v>
      </c>
      <c r="L26" s="40">
        <f>'Oct 19'!$K26/$K$2</f>
        <v>1.275586487136641E-2</v>
      </c>
      <c r="M26" s="34"/>
    </row>
    <row r="27" spans="1:15" s="44" customFormat="1" ht="12.75" customHeight="1" x14ac:dyDescent="0.25">
      <c r="A27" s="34" t="s">
        <v>162</v>
      </c>
      <c r="B27" s="34" t="s">
        <v>40</v>
      </c>
      <c r="C27" s="34" t="s">
        <v>41</v>
      </c>
      <c r="D27" s="35">
        <v>6.3940000000000004E-3</v>
      </c>
      <c r="E27" s="36">
        <f>'Oct 19'!$D27*$C$6*$C$2</f>
        <v>1184590.4654249121</v>
      </c>
      <c r="F27" s="36">
        <v>33.299999999999997</v>
      </c>
      <c r="G27" s="37">
        <f>'Oct 19'!$E27/'Oct 19'!$F27</f>
        <v>35573.28724999736</v>
      </c>
      <c r="H27" s="34">
        <v>0</v>
      </c>
      <c r="I27" s="34">
        <f>ROUND(Table13895845679910111213144562678910111213141516171819202134567891011121314[[#This Row],[Target Quantity]],0)</f>
        <v>35573</v>
      </c>
      <c r="J27" s="38">
        <f t="shared" si="0"/>
        <v>35573</v>
      </c>
      <c r="K27" s="39">
        <f>'Oct 19'!$F27*'Oct 19'!$I27</f>
        <v>1184580.8999999999</v>
      </c>
      <c r="L27" s="40">
        <f>'Oct 19'!$K27/$K$2</f>
        <v>6.3785003230571874E-3</v>
      </c>
      <c r="M27" s="34"/>
    </row>
    <row r="28" spans="1:15" s="44" customFormat="1" ht="12.75" customHeight="1" x14ac:dyDescent="0.25">
      <c r="A28" s="34"/>
      <c r="B28" s="34"/>
      <c r="C28" s="34"/>
      <c r="D28" s="35"/>
      <c r="E28" s="36"/>
      <c r="F28" s="36"/>
      <c r="G28" s="37"/>
      <c r="H28" s="34"/>
      <c r="I28" s="34"/>
      <c r="J28" s="45"/>
      <c r="K28" s="36"/>
      <c r="L28" s="46"/>
      <c r="M28" s="34"/>
    </row>
    <row r="29" spans="1:15" s="53" customFormat="1" ht="12.75" customHeight="1" x14ac:dyDescent="0.25">
      <c r="A29" s="47" t="s">
        <v>175</v>
      </c>
      <c r="B29" s="47"/>
      <c r="C29" s="47"/>
      <c r="D29" s="48">
        <f>SUM(D9:D28)</f>
        <v>0.16623299999999999</v>
      </c>
      <c r="E29" s="49">
        <f>'Oct 19'!$D29*$C$6*$C$2</f>
        <v>30797314.175630186</v>
      </c>
      <c r="F29" s="50"/>
      <c r="G29" s="50"/>
      <c r="H29" s="47"/>
      <c r="I29" s="47"/>
      <c r="J29" s="51"/>
      <c r="K29" s="49">
        <f>SUM(K9:K28)</f>
        <v>30796471.294543516</v>
      </c>
      <c r="L29" s="52">
        <f>'Oct 19'!$K29/$K$2</f>
        <v>0.16582683555109426</v>
      </c>
      <c r="M29" s="47"/>
    </row>
    <row r="30" spans="1:15" s="44" customFormat="1" ht="12.75" customHeight="1" x14ac:dyDescent="0.25">
      <c r="A30" s="34"/>
      <c r="B30" s="34"/>
      <c r="C30" s="34"/>
      <c r="D30" s="35"/>
      <c r="E30" s="36"/>
      <c r="F30" s="36"/>
      <c r="G30" s="37"/>
      <c r="H30" s="34"/>
      <c r="I30" s="34"/>
      <c r="J30" s="45"/>
      <c r="K30" s="36"/>
      <c r="L30" s="40"/>
      <c r="M30" s="34"/>
    </row>
    <row r="31" spans="1:15" s="43" customFormat="1" ht="12.75" customHeight="1" x14ac:dyDescent="0.25">
      <c r="A31" s="54"/>
      <c r="B31" s="47" t="s">
        <v>34</v>
      </c>
      <c r="C31" s="54" t="s">
        <v>35</v>
      </c>
      <c r="D31" s="55">
        <v>1.9557000000000001E-2</v>
      </c>
      <c r="E31" s="56">
        <f>'Oct 19'!$D31*$C$6*$C$2</f>
        <v>3623246.1264177365</v>
      </c>
      <c r="F31" s="50">
        <v>18.230000566009601</v>
      </c>
      <c r="G31" s="57">
        <f>'Oct 19'!$E31/'Oct 19'!$F31</f>
        <v>198751.83839398177</v>
      </c>
      <c r="H31" s="54">
        <v>194343</v>
      </c>
      <c r="I31" s="54">
        <f>ROUND(Table13895845679910111213144562678910111213141516171819202134567891011121314[[#This Row],[Target Quantity]],0)</f>
        <v>198752</v>
      </c>
      <c r="J31" s="58">
        <f>I31-H31</f>
        <v>4409</v>
      </c>
      <c r="K31" s="59">
        <f>'Oct 19'!$F31*'Oct 19'!$I31</f>
        <v>3623249.0724955401</v>
      </c>
      <c r="L31" s="52">
        <f>'Oct 19'!$K31/$K$2</f>
        <v>1.9509765335089784E-2</v>
      </c>
      <c r="M31" s="47"/>
      <c r="O31" s="42"/>
    </row>
    <row r="32" spans="1:15" s="43" customFormat="1" ht="12.75" customHeight="1" x14ac:dyDescent="0.25">
      <c r="A32" s="34"/>
      <c r="B32" s="34"/>
      <c r="C32" s="34"/>
      <c r="D32" s="35"/>
      <c r="E32" s="36"/>
      <c r="F32" s="36"/>
      <c r="G32" s="37"/>
      <c r="H32" s="34"/>
      <c r="I32" s="34"/>
      <c r="J32" s="45"/>
      <c r="K32" s="39"/>
      <c r="L32" s="40"/>
      <c r="M32" s="34"/>
      <c r="O32" s="42"/>
    </row>
    <row r="33" spans="1:15" s="2" customFormat="1" ht="25.5" x14ac:dyDescent="0.2">
      <c r="A33" s="34" t="s">
        <v>176</v>
      </c>
      <c r="B33" s="60" t="s">
        <v>109</v>
      </c>
      <c r="C33" s="61" t="s">
        <v>110</v>
      </c>
      <c r="D33" s="35">
        <v>2.9335E-2</v>
      </c>
      <c r="E33" s="36">
        <f>'Oct 19'!$D33*$C$6*$C$2</f>
        <v>5434776.5566530805</v>
      </c>
      <c r="F33" s="36">
        <v>158521.64285714299</v>
      </c>
      <c r="G33" s="37">
        <f>'Oct 19'!$E33/'Oct 19'!$F33</f>
        <v>34.284129653834135</v>
      </c>
      <c r="H33" s="34">
        <v>28</v>
      </c>
      <c r="I33" s="34">
        <v>34</v>
      </c>
      <c r="J33" s="38">
        <f t="shared" ref="J33:J44" si="1">I33-H33</f>
        <v>6</v>
      </c>
      <c r="K33" s="39">
        <f>'Oct 19'!$F33*'Oct 19'!$I33</f>
        <v>5389735.8571428619</v>
      </c>
      <c r="L33" s="40">
        <f>'Oct 19'!$K33/$K$2</f>
        <v>2.9021599036400683E-2</v>
      </c>
      <c r="M33" s="62"/>
    </row>
    <row r="34" spans="1:15" s="2" customFormat="1" ht="25.5" x14ac:dyDescent="0.2">
      <c r="A34" s="34" t="s">
        <v>176</v>
      </c>
      <c r="B34" s="60" t="s">
        <v>115</v>
      </c>
      <c r="C34" s="61" t="s">
        <v>116</v>
      </c>
      <c r="D34" s="35">
        <v>2.9335E-2</v>
      </c>
      <c r="E34" s="36">
        <f>'Oct 19'!$D34*$C$6*$C$2</f>
        <v>5434776.5566530805</v>
      </c>
      <c r="F34" s="36">
        <v>217543.75</v>
      </c>
      <c r="G34" s="37">
        <f>'Oct 19'!$E34/'Oct 19'!$F34</f>
        <v>24.982453215286949</v>
      </c>
      <c r="H34" s="34">
        <v>20</v>
      </c>
      <c r="I34" s="34">
        <v>25</v>
      </c>
      <c r="J34" s="38">
        <f t="shared" si="1"/>
        <v>5</v>
      </c>
      <c r="K34" s="39">
        <f>'Oct 19'!$F34*'Oct 19'!$I34</f>
        <v>5438593.75</v>
      </c>
      <c r="L34" s="40">
        <f>'Oct 19'!$K34/$K$2</f>
        <v>2.9284679494116277E-2</v>
      </c>
      <c r="M34" s="62"/>
    </row>
    <row r="35" spans="1:15" s="2" customFormat="1" ht="25.5" x14ac:dyDescent="0.2">
      <c r="A35" s="34" t="s">
        <v>176</v>
      </c>
      <c r="B35" s="60" t="s">
        <v>121</v>
      </c>
      <c r="C35" s="61" t="s">
        <v>122</v>
      </c>
      <c r="D35" s="35">
        <v>2.9335E-2</v>
      </c>
      <c r="E35" s="36">
        <f>'Oct 19'!$D35*$C$6*$C$2</f>
        <v>5434776.5566530805</v>
      </c>
      <c r="F35" s="36">
        <v>174168.32000000001</v>
      </c>
      <c r="G35" s="37">
        <f>'Oct 19'!$E35/'Oct 19'!$F35</f>
        <v>31.204162482896319</v>
      </c>
      <c r="H35" s="34">
        <v>25</v>
      </c>
      <c r="I35" s="34">
        <v>31</v>
      </c>
      <c r="J35" s="38">
        <f t="shared" si="1"/>
        <v>6</v>
      </c>
      <c r="K35" s="39">
        <f>'Oct 19'!$F35*'Oct 19'!$I35</f>
        <v>5399217.9199999999</v>
      </c>
      <c r="L35" s="40">
        <f>'Oct 19'!$K35/$K$2</f>
        <v>2.9072656200160037E-2</v>
      </c>
      <c r="M35" s="62"/>
    </row>
    <row r="36" spans="1:15" s="2" customFormat="1" ht="25.5" x14ac:dyDescent="0.2">
      <c r="A36" s="34" t="s">
        <v>176</v>
      </c>
      <c r="B36" s="60" t="s">
        <v>124</v>
      </c>
      <c r="C36" s="61" t="s">
        <v>125</v>
      </c>
      <c r="D36" s="35">
        <v>2.9335E-2</v>
      </c>
      <c r="E36" s="36">
        <f>'Oct 19'!$D36*$C$6*$C$2</f>
        <v>5434776.5566530805</v>
      </c>
      <c r="F36" s="36">
        <v>125715.74285714301</v>
      </c>
      <c r="G36" s="37">
        <f>'Oct 19'!$E36/'Oct 19'!$F36</f>
        <v>43.230676072358612</v>
      </c>
      <c r="H36" s="34">
        <v>35</v>
      </c>
      <c r="I36" s="34">
        <v>43</v>
      </c>
      <c r="J36" s="38">
        <f t="shared" si="1"/>
        <v>8</v>
      </c>
      <c r="K36" s="39">
        <f>'Oct 19'!$F36*'Oct 19'!$I36</f>
        <v>5405776.9428571491</v>
      </c>
      <c r="L36" s="40">
        <f>'Oct 19'!$K36/$K$2</f>
        <v>2.9107973947908008E-2</v>
      </c>
      <c r="M36" s="62"/>
    </row>
    <row r="37" spans="1:15" s="2" customFormat="1" ht="25.5" x14ac:dyDescent="0.2">
      <c r="A37" s="34" t="s">
        <v>176</v>
      </c>
      <c r="B37" s="60" t="s">
        <v>127</v>
      </c>
      <c r="C37" s="61" t="s">
        <v>128</v>
      </c>
      <c r="D37" s="35">
        <v>2.9335E-2</v>
      </c>
      <c r="E37" s="36">
        <f>'Oct 19'!$D37*$C$6*$C$2</f>
        <v>5434776.5566530805</v>
      </c>
      <c r="F37" s="36">
        <v>138806.75</v>
      </c>
      <c r="G37" s="37">
        <f>'Oct 19'!$E37/'Oct 19'!$F37</f>
        <v>39.153546615370509</v>
      </c>
      <c r="H37" s="34">
        <v>32</v>
      </c>
      <c r="I37" s="34">
        <v>39</v>
      </c>
      <c r="J37" s="38">
        <f t="shared" si="1"/>
        <v>7</v>
      </c>
      <c r="K37" s="39">
        <f>'Oct 19'!$F37*'Oct 19'!$I37</f>
        <v>5413463.25</v>
      </c>
      <c r="L37" s="40">
        <f>'Oct 19'!$K37/$K$2</f>
        <v>2.9149361676339046E-2</v>
      </c>
      <c r="M37" s="62"/>
    </row>
    <row r="38" spans="1:15" s="2" customFormat="1" ht="25.5" x14ac:dyDescent="0.2">
      <c r="A38" s="34" t="s">
        <v>176</v>
      </c>
      <c r="B38" s="60" t="s">
        <v>135</v>
      </c>
      <c r="C38" s="61" t="s">
        <v>136</v>
      </c>
      <c r="D38" s="35">
        <v>2.9335E-2</v>
      </c>
      <c r="E38" s="36">
        <f>'Oct 19'!$D38*$C$6*$C$2</f>
        <v>5434776.5566530805</v>
      </c>
      <c r="F38" s="36">
        <v>220825.35</v>
      </c>
      <c r="G38" s="37">
        <f>'Oct 19'!$E38/'Oct 19'!$F38</f>
        <v>24.611198653836983</v>
      </c>
      <c r="H38" s="34">
        <v>20</v>
      </c>
      <c r="I38" s="34">
        <v>25</v>
      </c>
      <c r="J38" s="38">
        <f t="shared" si="1"/>
        <v>5</v>
      </c>
      <c r="K38" s="39">
        <f>'Oct 19'!$F38*'Oct 19'!$I38</f>
        <v>5520633.75</v>
      </c>
      <c r="L38" s="40">
        <f>'Oct 19'!$K38/$K$2</f>
        <v>2.972643249427322E-2</v>
      </c>
      <c r="M38" s="62"/>
    </row>
    <row r="39" spans="1:15" s="43" customFormat="1" ht="25.5" customHeight="1" x14ac:dyDescent="0.25">
      <c r="A39" s="34" t="s">
        <v>177</v>
      </c>
      <c r="B39" s="34" t="s">
        <v>178</v>
      </c>
      <c r="C39" s="34" t="s">
        <v>179</v>
      </c>
      <c r="D39" s="35">
        <v>0</v>
      </c>
      <c r="E39" s="36">
        <f>'Oct 19'!$D39*$C$6*$C$2</f>
        <v>0</v>
      </c>
      <c r="F39" s="36">
        <v>97979.111111111095</v>
      </c>
      <c r="G39" s="37">
        <f>'Oct 19'!$E39/'Oct 19'!$F39</f>
        <v>0</v>
      </c>
      <c r="H39" s="34">
        <v>45</v>
      </c>
      <c r="I39" s="34">
        <v>0</v>
      </c>
      <c r="J39" s="38">
        <f t="shared" si="1"/>
        <v>-45</v>
      </c>
      <c r="K39" s="39">
        <f>'Oct 19'!$F39*'Oct 19'!$I39</f>
        <v>0</v>
      </c>
      <c r="L39" s="40">
        <f>'Oct 19'!$K39/$K$2</f>
        <v>0</v>
      </c>
      <c r="M39" s="41"/>
      <c r="O39" s="42"/>
    </row>
    <row r="40" spans="1:15" s="43" customFormat="1" ht="25.5" customHeight="1" x14ac:dyDescent="0.25">
      <c r="A40" s="34" t="s">
        <v>177</v>
      </c>
      <c r="B40" s="34" t="s">
        <v>76</v>
      </c>
      <c r="C40" s="34" t="s">
        <v>77</v>
      </c>
      <c r="D40" s="35">
        <v>2.9335E-2</v>
      </c>
      <c r="E40" s="36">
        <f>'Oct 19'!$D40*$C$6*$C$2</f>
        <v>5434776.5566530805</v>
      </c>
      <c r="F40" s="36">
        <v>115139.552631579</v>
      </c>
      <c r="G40" s="37">
        <f>'Oct 19'!$E40/'Oct 19'!$F40</f>
        <v>47.201647326554742</v>
      </c>
      <c r="H40" s="34">
        <v>38</v>
      </c>
      <c r="I40" s="34">
        <v>47</v>
      </c>
      <c r="J40" s="38">
        <f t="shared" si="1"/>
        <v>9</v>
      </c>
      <c r="K40" s="39">
        <f>'Oct 19'!$F40*'Oct 19'!$I40</f>
        <v>5411558.9736842131</v>
      </c>
      <c r="L40" s="40">
        <f>'Oct 19'!$K40/$K$2</f>
        <v>2.9139107900429409E-2</v>
      </c>
      <c r="M40" s="41"/>
    </row>
    <row r="41" spans="1:15" s="43" customFormat="1" ht="25.5" customHeight="1" x14ac:dyDescent="0.25">
      <c r="A41" s="34" t="s">
        <v>177</v>
      </c>
      <c r="B41" s="34" t="s">
        <v>180</v>
      </c>
      <c r="C41" s="34" t="s">
        <v>181</v>
      </c>
      <c r="D41" s="35">
        <v>0</v>
      </c>
      <c r="E41" s="36">
        <f>'Oct 19'!$D41*$C$6*$C$2</f>
        <v>0</v>
      </c>
      <c r="F41" s="36">
        <v>116518.5</v>
      </c>
      <c r="G41" s="37">
        <f>'Oct 19'!$E41/'Oct 19'!$F41</f>
        <v>0</v>
      </c>
      <c r="H41" s="34">
        <v>38</v>
      </c>
      <c r="I41" s="34">
        <v>0</v>
      </c>
      <c r="J41" s="38">
        <f t="shared" si="1"/>
        <v>-38</v>
      </c>
      <c r="K41" s="39">
        <f>'Oct 19'!$F41*'Oct 19'!$I41</f>
        <v>0</v>
      </c>
      <c r="L41" s="40">
        <f>'Oct 19'!$K41/$K$2</f>
        <v>0</v>
      </c>
      <c r="M41" s="41"/>
    </row>
    <row r="42" spans="1:15" s="43" customFormat="1" ht="25.5" x14ac:dyDescent="0.25">
      <c r="A42" s="34" t="s">
        <v>177</v>
      </c>
      <c r="B42" s="34" t="s">
        <v>71</v>
      </c>
      <c r="C42" s="34" t="s">
        <v>72</v>
      </c>
      <c r="D42" s="35">
        <v>2.9335E-2</v>
      </c>
      <c r="E42" s="36">
        <f>'Oct 19'!$D42*$C$6*$C$2</f>
        <v>5434776.5566530805</v>
      </c>
      <c r="F42" s="36">
        <v>133602.848484849</v>
      </c>
      <c r="G42" s="37">
        <f>'Oct 19'!$E42/'Oct 19'!$F42</f>
        <v>40.67859793625135</v>
      </c>
      <c r="H42" s="34">
        <v>33</v>
      </c>
      <c r="I42" s="34">
        <v>41</v>
      </c>
      <c r="J42" s="38">
        <f t="shared" si="1"/>
        <v>8</v>
      </c>
      <c r="K42" s="39">
        <f>'Oct 19'!$F42*'Oct 19'!$I42</f>
        <v>5477716.7878788095</v>
      </c>
      <c r="L42" s="40">
        <f>'Oct 19'!$K42/$K$2</f>
        <v>2.9495341602334437E-2</v>
      </c>
      <c r="M42" s="41"/>
    </row>
    <row r="43" spans="1:15" s="43" customFormat="1" ht="25.5" x14ac:dyDescent="0.25">
      <c r="A43" s="34" t="s">
        <v>177</v>
      </c>
      <c r="B43" s="34" t="s">
        <v>67</v>
      </c>
      <c r="C43" s="34" t="s">
        <v>68</v>
      </c>
      <c r="D43" s="35">
        <v>2.9335E-2</v>
      </c>
      <c r="E43" s="36">
        <f>'Oct 19'!$D43*$C$6*$C$2</f>
        <v>5434776.5566530805</v>
      </c>
      <c r="F43" s="36">
        <v>175976.2</v>
      </c>
      <c r="G43" s="37">
        <f>'Oct 19'!$E43/'Oct 19'!$F43</f>
        <v>30.8835885571633</v>
      </c>
      <c r="H43" s="34">
        <v>25</v>
      </c>
      <c r="I43" s="34">
        <v>31</v>
      </c>
      <c r="J43" s="38">
        <f t="shared" si="1"/>
        <v>6</v>
      </c>
      <c r="K43" s="39">
        <f>'Oct 19'!$F43*'Oct 19'!$I43</f>
        <v>5455262.2000000002</v>
      </c>
      <c r="L43" s="40">
        <f>'Oct 19'!$K43/$K$2</f>
        <v>2.9374432514538827E-2</v>
      </c>
      <c r="M43" s="41"/>
    </row>
    <row r="44" spans="1:15" s="43" customFormat="1" ht="25.5" x14ac:dyDescent="0.25">
      <c r="A44" s="34" t="s">
        <v>177</v>
      </c>
      <c r="B44" s="34" t="s">
        <v>80</v>
      </c>
      <c r="C44" s="34" t="s">
        <v>81</v>
      </c>
      <c r="D44" s="35">
        <v>2.9335E-2</v>
      </c>
      <c r="E44" s="36">
        <f>'Oct 19'!$D44*$C$6*$C$2</f>
        <v>5434776.5566530805</v>
      </c>
      <c r="F44" s="36">
        <v>267384.52941176499</v>
      </c>
      <c r="G44" s="37">
        <f>'Oct 19'!$E44/'Oct 19'!$F44</f>
        <v>20.325695613764065</v>
      </c>
      <c r="H44" s="34">
        <v>17</v>
      </c>
      <c r="I44" s="34">
        <v>20</v>
      </c>
      <c r="J44" s="38">
        <f t="shared" si="1"/>
        <v>3</v>
      </c>
      <c r="K44" s="39">
        <f>'Oct 19'!$F44*'Oct 19'!$I44</f>
        <v>5347690.5882353</v>
      </c>
      <c r="L44" s="40">
        <f>'Oct 19'!$K44/$K$2</f>
        <v>2.8795201868161764E-2</v>
      </c>
      <c r="M44" s="41"/>
    </row>
    <row r="45" spans="1:15" s="64" customFormat="1" ht="12.75" x14ac:dyDescent="0.2">
      <c r="A45" s="34"/>
      <c r="B45" s="61"/>
      <c r="C45" s="61"/>
      <c r="D45" s="35"/>
      <c r="E45" s="63"/>
      <c r="F45" s="36"/>
      <c r="G45" s="37"/>
      <c r="H45" s="34"/>
      <c r="I45" s="34"/>
      <c r="J45" s="45"/>
      <c r="K45" s="36"/>
      <c r="L45" s="46"/>
      <c r="M45" s="62"/>
    </row>
    <row r="46" spans="1:15" s="15" customFormat="1" ht="12.75" x14ac:dyDescent="0.2">
      <c r="A46" s="47" t="s">
        <v>182</v>
      </c>
      <c r="B46" s="65"/>
      <c r="C46" s="65"/>
      <c r="D46" s="55">
        <f>SUBTOTAL(9,D33:D45)</f>
        <v>0.29335</v>
      </c>
      <c r="E46" s="66">
        <f>'Oct 19'!$D46*$C$6*$C$2</f>
        <v>54347765.566530801</v>
      </c>
      <c r="F46" s="67"/>
      <c r="G46" s="68"/>
      <c r="H46" s="54"/>
      <c r="I46" s="54"/>
      <c r="J46" s="58"/>
      <c r="K46" s="66">
        <f>SUM(K33:K45)</f>
        <v>54259650.019798338</v>
      </c>
      <c r="L46" s="69">
        <f>'Oct 19'!$K46/$K$2</f>
        <v>0.29216678673466173</v>
      </c>
      <c r="M46" s="70"/>
    </row>
    <row r="47" spans="1:15" s="64" customFormat="1" ht="12.75" x14ac:dyDescent="0.2">
      <c r="A47" s="34"/>
      <c r="B47" s="61"/>
      <c r="C47" s="61"/>
      <c r="D47" s="35"/>
      <c r="E47" s="63"/>
      <c r="F47" s="36"/>
      <c r="G47" s="37"/>
      <c r="H47" s="34"/>
      <c r="I47" s="34"/>
      <c r="J47" s="45"/>
      <c r="K47" s="36"/>
      <c r="L47" s="40"/>
      <c r="M47" s="62"/>
    </row>
    <row r="48" spans="1:15" s="2" customFormat="1" ht="24.75" customHeight="1" x14ac:dyDescent="0.2">
      <c r="A48" s="34" t="s">
        <v>176</v>
      </c>
      <c r="B48" s="61" t="s">
        <v>183</v>
      </c>
      <c r="C48" s="61" t="s">
        <v>131</v>
      </c>
      <c r="D48" s="35">
        <v>7.1429000000000006E-2</v>
      </c>
      <c r="E48" s="36">
        <f>'Oct 19'!$D48*$C$6*$C$2</f>
        <v>13233361.331691593</v>
      </c>
      <c r="F48" s="36">
        <v>416329.54838709702</v>
      </c>
      <c r="G48" s="37">
        <f>'Oct 19'!$E48/'Oct 19'!$F48</f>
        <v>31.78578456167471</v>
      </c>
      <c r="H48" s="34">
        <v>31</v>
      </c>
      <c r="I48" s="34">
        <v>32</v>
      </c>
      <c r="J48" s="38">
        <f t="shared" ref="J48:J54" si="2">I48-H48</f>
        <v>1</v>
      </c>
      <c r="K48" s="39">
        <f>'Oct 19'!$F48*'Oct 19'!$I48</f>
        <v>13322545.548387105</v>
      </c>
      <c r="L48" s="40">
        <f>'Oct 19'!$K48/$K$2</f>
        <v>7.1736646339926005E-2</v>
      </c>
      <c r="M48" s="62"/>
    </row>
    <row r="49" spans="1:16" s="43" customFormat="1" ht="25.5" x14ac:dyDescent="0.25">
      <c r="A49" s="34" t="s">
        <v>177</v>
      </c>
      <c r="B49" s="34" t="s">
        <v>82</v>
      </c>
      <c r="C49" s="34" t="s">
        <v>83</v>
      </c>
      <c r="D49" s="35">
        <v>7.1429000000000006E-2</v>
      </c>
      <c r="E49" s="36">
        <f>'Oct 19'!$D49*$C$6*$C$2</f>
        <v>13233361.331691593</v>
      </c>
      <c r="F49" s="36">
        <v>249400</v>
      </c>
      <c r="G49" s="37">
        <f>'Oct 19'!$E49/'Oct 19'!$F49</f>
        <v>53.060791225708073</v>
      </c>
      <c r="H49" s="34">
        <v>52</v>
      </c>
      <c r="I49" s="34">
        <v>53</v>
      </c>
      <c r="J49" s="38">
        <f t="shared" si="2"/>
        <v>1</v>
      </c>
      <c r="K49" s="39">
        <f>'Oct 19'!$F49*'Oct 19'!$I49</f>
        <v>13218200</v>
      </c>
      <c r="L49" s="40">
        <f>'Oct 19'!$K49/$K$2</f>
        <v>7.1174786770776502E-2</v>
      </c>
      <c r="M49" s="41"/>
    </row>
    <row r="50" spans="1:16" s="43" customFormat="1" ht="25.5" x14ac:dyDescent="0.25">
      <c r="A50" s="34" t="s">
        <v>177</v>
      </c>
      <c r="B50" s="34" t="s">
        <v>184</v>
      </c>
      <c r="C50" s="34" t="s">
        <v>105</v>
      </c>
      <c r="D50" s="35">
        <v>7.1429000000000006E-2</v>
      </c>
      <c r="E50" s="36">
        <f>'Oct 19'!$D50*$C$6*$C$2</f>
        <v>13233361.331691593</v>
      </c>
      <c r="F50" s="36">
        <v>416327.80645161303</v>
      </c>
      <c r="G50" s="37">
        <f>'Oct 19'!$E50/'Oct 19'!$F50</f>
        <v>31.785917554919834</v>
      </c>
      <c r="H50" s="34">
        <v>31</v>
      </c>
      <c r="I50" s="34">
        <v>32</v>
      </c>
      <c r="J50" s="38">
        <f t="shared" si="2"/>
        <v>1</v>
      </c>
      <c r="K50" s="39">
        <f>'Oct 19'!$F50*'Oct 19'!$I50</f>
        <v>13322489.806451617</v>
      </c>
      <c r="L50" s="40">
        <f>'Oct 19'!$K50/$K$2</f>
        <v>7.1736346191617423E-2</v>
      </c>
      <c r="M50" s="41"/>
    </row>
    <row r="51" spans="1:16" s="43" customFormat="1" ht="25.5" x14ac:dyDescent="0.25">
      <c r="A51" s="34" t="s">
        <v>177</v>
      </c>
      <c r="B51" s="34" t="s">
        <v>107</v>
      </c>
      <c r="C51" s="34" t="s">
        <v>108</v>
      </c>
      <c r="D51" s="35">
        <v>7.1429000000000006E-2</v>
      </c>
      <c r="E51" s="36">
        <f>'Oct 19'!$D51*$C$6*$C$2</f>
        <v>13233361.331691593</v>
      </c>
      <c r="F51" s="36">
        <v>249800.961538462</v>
      </c>
      <c r="G51" s="37">
        <f>'Oct 19'!$E51/'Oct 19'!$F51</f>
        <v>52.975622072031314</v>
      </c>
      <c r="H51" s="34">
        <v>52</v>
      </c>
      <c r="I51" s="34">
        <v>53</v>
      </c>
      <c r="J51" s="38">
        <f t="shared" si="2"/>
        <v>1</v>
      </c>
      <c r="K51" s="39">
        <f>'Oct 19'!$F51*'Oct 19'!$I51</f>
        <v>13239450.961538486</v>
      </c>
      <c r="L51" s="40">
        <f>'Oct 19'!$K51/$K$2</f>
        <v>7.1289214806074475E-2</v>
      </c>
      <c r="M51" s="41"/>
    </row>
    <row r="52" spans="1:16" s="43" customFormat="1" ht="25.5" x14ac:dyDescent="0.25">
      <c r="A52" s="34" t="s">
        <v>177</v>
      </c>
      <c r="B52" s="34" t="s">
        <v>85</v>
      </c>
      <c r="C52" s="34" t="s">
        <v>86</v>
      </c>
      <c r="D52" s="35">
        <v>7.1429000000000006E-2</v>
      </c>
      <c r="E52" s="36">
        <f>'Oct 19'!$D52*$C$6*$C$2</f>
        <v>13233361.331691593</v>
      </c>
      <c r="F52" s="36">
        <v>162358.71249999999</v>
      </c>
      <c r="G52" s="37">
        <f>'Oct 19'!$E52/'Oct 19'!$F52</f>
        <v>81.5069368802219</v>
      </c>
      <c r="H52" s="34">
        <v>80</v>
      </c>
      <c r="I52" s="34">
        <v>82</v>
      </c>
      <c r="J52" s="38">
        <f t="shared" si="2"/>
        <v>2</v>
      </c>
      <c r="K52" s="39">
        <f>'Oct 19'!$F52*'Oct 19'!$I52</f>
        <v>13313414.424999999</v>
      </c>
      <c r="L52" s="40">
        <f>'Oct 19'!$K52/$K$2</f>
        <v>7.1687478846617164E-2</v>
      </c>
      <c r="M52" s="41"/>
    </row>
    <row r="53" spans="1:16" s="43" customFormat="1" ht="25.5" x14ac:dyDescent="0.25">
      <c r="A53" s="34" t="s">
        <v>177</v>
      </c>
      <c r="B53" s="34" t="s">
        <v>186</v>
      </c>
      <c r="C53" s="34" t="s">
        <v>187</v>
      </c>
      <c r="D53" s="35">
        <v>7.1429000000000006E-2</v>
      </c>
      <c r="E53" s="36">
        <f>'Oct 19'!$D53*$C$6*$C$2</f>
        <v>13233361.331691593</v>
      </c>
      <c r="F53" s="36">
        <v>174674.15068493201</v>
      </c>
      <c r="G53" s="37">
        <f>'Oct 19'!$E53/'Oct 19'!$F53</f>
        <v>75.760272941365145</v>
      </c>
      <c r="H53" s="34">
        <v>73</v>
      </c>
      <c r="I53" s="34">
        <v>76</v>
      </c>
      <c r="J53" s="38">
        <f t="shared" si="2"/>
        <v>3</v>
      </c>
      <c r="K53" s="39">
        <f>'Oct 19'!$F53*'Oct 19'!$I53</f>
        <v>13275235.452054832</v>
      </c>
      <c r="L53" s="40">
        <f>'Oct 19'!$K53/$K$2</f>
        <v>7.1481900155229566E-2</v>
      </c>
      <c r="M53" s="41"/>
    </row>
    <row r="54" spans="1:16" s="43" customFormat="1" ht="25.5" x14ac:dyDescent="0.25">
      <c r="A54" s="34" t="s">
        <v>177</v>
      </c>
      <c r="B54" s="34" t="s">
        <v>188</v>
      </c>
      <c r="C54" s="34" t="s">
        <v>189</v>
      </c>
      <c r="D54" s="35">
        <v>7.1429000000000006E-2</v>
      </c>
      <c r="E54" s="36">
        <f>'Oct 19'!$D54*$C$6*$C$2</f>
        <v>13233361.331691593</v>
      </c>
      <c r="F54" s="36">
        <v>709136.22222222202</v>
      </c>
      <c r="G54" s="37">
        <f>'Oct 19'!$E54/'Oct 19'!$F54</f>
        <v>18.6612401355302</v>
      </c>
      <c r="H54" s="34">
        <v>18</v>
      </c>
      <c r="I54" s="34">
        <v>19</v>
      </c>
      <c r="J54" s="38">
        <f t="shared" si="2"/>
        <v>1</v>
      </c>
      <c r="K54" s="39">
        <f>'Oct 19'!$F54*'Oct 19'!$I54</f>
        <v>13473588.222222218</v>
      </c>
      <c r="L54" s="40">
        <f>'Oct 19'!$K54/$K$2</f>
        <v>7.2549951487639167E-2</v>
      </c>
      <c r="M54" s="41"/>
    </row>
    <row r="55" spans="1:16" s="44" customFormat="1" ht="12.75" x14ac:dyDescent="0.25">
      <c r="A55" s="34"/>
      <c r="B55" s="34"/>
      <c r="C55" s="34"/>
      <c r="D55" s="35"/>
      <c r="E55" s="36"/>
      <c r="F55" s="36"/>
      <c r="G55" s="37"/>
      <c r="H55" s="34"/>
      <c r="I55" s="34"/>
      <c r="J55" s="45"/>
      <c r="K55" s="36"/>
      <c r="L55" s="40"/>
      <c r="M55" s="34"/>
    </row>
    <row r="56" spans="1:16" s="53" customFormat="1" ht="25.5" x14ac:dyDescent="0.25">
      <c r="A56" s="47" t="s">
        <v>190</v>
      </c>
      <c r="B56" s="47"/>
      <c r="C56" s="47"/>
      <c r="D56" s="55">
        <f>SUBTOTAL(9,D48:D55)</f>
        <v>0.50000300000000009</v>
      </c>
      <c r="E56" s="49">
        <f>'Oct 19'!$D56*$C$6*$C$2</f>
        <v>92633529.321841165</v>
      </c>
      <c r="F56" s="68"/>
      <c r="G56" s="68"/>
      <c r="H56" s="54"/>
      <c r="I56" s="54"/>
      <c r="J56" s="58"/>
      <c r="K56" s="49">
        <f>SUM(K48:K55)</f>
        <v>93164924.415654257</v>
      </c>
      <c r="L56" s="71">
        <f>'Oct 19'!$K56/$K$2</f>
        <v>0.50165632459788034</v>
      </c>
      <c r="M56" s="47"/>
    </row>
    <row r="57" spans="1:16" s="44" customFormat="1" ht="12.75" x14ac:dyDescent="0.25">
      <c r="A57" s="34"/>
      <c r="B57" s="34"/>
      <c r="C57" s="34"/>
      <c r="D57" s="35"/>
      <c r="E57" s="36"/>
      <c r="F57" s="36"/>
      <c r="G57" s="37"/>
      <c r="H57" s="34"/>
      <c r="I57" s="34"/>
      <c r="J57" s="45"/>
      <c r="K57" s="36"/>
      <c r="L57" s="40"/>
      <c r="M57" s="34"/>
    </row>
    <row r="58" spans="1:16" s="43" customFormat="1" ht="12.75" x14ac:dyDescent="0.25">
      <c r="A58" s="34"/>
      <c r="B58" s="34"/>
      <c r="C58" s="34"/>
      <c r="D58" s="35"/>
      <c r="E58" s="36"/>
      <c r="F58" s="36"/>
      <c r="G58" s="72"/>
      <c r="H58" s="34"/>
      <c r="I58" s="34"/>
      <c r="J58" s="38"/>
      <c r="K58" s="39"/>
      <c r="L58" s="40"/>
      <c r="M58" s="41"/>
    </row>
    <row r="59" spans="1:16" s="43" customFormat="1" ht="25.5" x14ac:dyDescent="0.25">
      <c r="A59" s="34" t="s">
        <v>191</v>
      </c>
      <c r="B59" s="34" t="s">
        <v>63</v>
      </c>
      <c r="C59" s="34" t="s">
        <v>64</v>
      </c>
      <c r="D59" s="35">
        <v>9.7799999999999992E-4</v>
      </c>
      <c r="E59" s="36">
        <f>'Oct 19'!$D59*$C$6*$C$2</f>
        <v>181190.09621294399</v>
      </c>
      <c r="F59" s="36">
        <v>46219.75</v>
      </c>
      <c r="G59" s="72">
        <f>'Oct 19'!$E59/'Oct 19'!$F59</f>
        <v>3.9201877165701671</v>
      </c>
      <c r="H59" s="34">
        <v>4</v>
      </c>
      <c r="I59" s="34">
        <v>4</v>
      </c>
      <c r="J59" s="38">
        <f t="shared" ref="J59:J71" si="3">I59-H59</f>
        <v>0</v>
      </c>
      <c r="K59" s="39">
        <f>'Oct 19'!$F59*'Oct 19'!$I59</f>
        <v>184879</v>
      </c>
      <c r="L59" s="40">
        <f>'Oct 19'!$K59/$K$2</f>
        <v>9.9550040121910619E-4</v>
      </c>
      <c r="M59" s="41"/>
    </row>
    <row r="60" spans="1:16" s="43" customFormat="1" ht="25.5" x14ac:dyDescent="0.25">
      <c r="A60" s="34" t="s">
        <v>191</v>
      </c>
      <c r="B60" s="34" t="s">
        <v>73</v>
      </c>
      <c r="C60" s="34" t="s">
        <v>74</v>
      </c>
      <c r="D60" s="35">
        <v>9.7799999999999992E-4</v>
      </c>
      <c r="E60" s="36">
        <f>'Oct 19'!$D60*$C$6*$C$2</f>
        <v>181190.09621294399</v>
      </c>
      <c r="F60" s="36">
        <v>168752</v>
      </c>
      <c r="G60" s="72">
        <f>'Oct 19'!$E60/'Oct 19'!$F60</f>
        <v>1.0737063632605479</v>
      </c>
      <c r="H60" s="34">
        <v>1</v>
      </c>
      <c r="I60" s="34">
        <v>1</v>
      </c>
      <c r="J60" s="38">
        <f t="shared" si="3"/>
        <v>0</v>
      </c>
      <c r="K60" s="39">
        <f>'Oct 19'!$F60*'Oct 19'!$I60</f>
        <v>168752</v>
      </c>
      <c r="L60" s="40">
        <f>'Oct 19'!$K60/$K$2</f>
        <v>9.0866287521312102E-4</v>
      </c>
      <c r="M60" s="41"/>
      <c r="P60" s="43" t="s">
        <v>194</v>
      </c>
    </row>
    <row r="61" spans="1:16" s="43" customFormat="1" ht="25.5" x14ac:dyDescent="0.25">
      <c r="A61" s="34" t="s">
        <v>191</v>
      </c>
      <c r="B61" s="34" t="s">
        <v>92</v>
      </c>
      <c r="C61" s="34" t="s">
        <v>93</v>
      </c>
      <c r="D61" s="35">
        <v>9.7799999999999992E-4</v>
      </c>
      <c r="E61" s="36">
        <f>'Oct 19'!$D61*$C$6*$C$2</f>
        <v>181190.09621294399</v>
      </c>
      <c r="F61" s="36">
        <v>94334</v>
      </c>
      <c r="G61" s="72">
        <f>'Oct 19'!$E61/'Oct 19'!$F61</f>
        <v>1.9207294953351282</v>
      </c>
      <c r="H61" s="34">
        <v>2</v>
      </c>
      <c r="I61" s="34">
        <v>2</v>
      </c>
      <c r="J61" s="38">
        <f t="shared" si="3"/>
        <v>0</v>
      </c>
      <c r="K61" s="39">
        <f>'Oct 19'!$F61*'Oct 19'!$I61</f>
        <v>188668</v>
      </c>
      <c r="L61" s="40">
        <f>'Oct 19'!$K61/$K$2</f>
        <v>1.0159026698392264E-3</v>
      </c>
      <c r="M61" s="41"/>
    </row>
    <row r="62" spans="1:16" s="43" customFormat="1" ht="25.5" x14ac:dyDescent="0.25">
      <c r="A62" s="34" t="s">
        <v>191</v>
      </c>
      <c r="B62" s="34" t="s">
        <v>94</v>
      </c>
      <c r="C62" s="34" t="s">
        <v>95</v>
      </c>
      <c r="D62" s="35">
        <v>9.7799999999999992E-4</v>
      </c>
      <c r="E62" s="36">
        <f>'Oct 19'!$D62*$C$6*$C$2</f>
        <v>181190.09621294399</v>
      </c>
      <c r="F62" s="36">
        <v>236075</v>
      </c>
      <c r="G62" s="72">
        <f>'Oct 19'!$E62/'Oct 19'!$F62</f>
        <v>0.76751073266099323</v>
      </c>
      <c r="H62" s="34">
        <v>1</v>
      </c>
      <c r="I62" s="34">
        <v>1</v>
      </c>
      <c r="J62" s="38">
        <f t="shared" si="3"/>
        <v>0</v>
      </c>
      <c r="K62" s="39">
        <f>'Oct 19'!$F62*'Oct 19'!$I62</f>
        <v>236075</v>
      </c>
      <c r="L62" s="40">
        <f>'Oct 19'!$K62/$K$2</f>
        <v>1.2711706425164594E-3</v>
      </c>
      <c r="M62" s="41"/>
    </row>
    <row r="63" spans="1:16" s="43" customFormat="1" ht="25.5" x14ac:dyDescent="0.25">
      <c r="A63" s="34" t="s">
        <v>191</v>
      </c>
      <c r="B63" s="34" t="s">
        <v>213</v>
      </c>
      <c r="C63" s="34" t="s">
        <v>197</v>
      </c>
      <c r="D63" s="55">
        <v>0</v>
      </c>
      <c r="E63" s="36">
        <f>'Oct 19'!$D63*$C$6*$C$2</f>
        <v>0</v>
      </c>
      <c r="F63" s="36">
        <v>43056.25</v>
      </c>
      <c r="G63" s="72">
        <f>'Oct 19'!$E63/'Oct 19'!$F63</f>
        <v>0</v>
      </c>
      <c r="H63" s="34">
        <v>4</v>
      </c>
      <c r="I63" s="34">
        <v>0</v>
      </c>
      <c r="J63" s="38">
        <f t="shared" si="3"/>
        <v>-4</v>
      </c>
      <c r="K63" s="39">
        <f>'Oct 19'!$F63*'Oct 19'!$I63</f>
        <v>0</v>
      </c>
      <c r="L63" s="40">
        <f>'Oct 19'!$K63/$K$2</f>
        <v>0</v>
      </c>
      <c r="M63" s="41"/>
    </row>
    <row r="64" spans="1:16" s="43" customFormat="1" ht="25.5" x14ac:dyDescent="0.25">
      <c r="A64" s="34" t="s">
        <v>191</v>
      </c>
      <c r="B64" s="34" t="s">
        <v>198</v>
      </c>
      <c r="C64" s="34" t="s">
        <v>199</v>
      </c>
      <c r="D64" s="55">
        <v>0</v>
      </c>
      <c r="E64" s="36">
        <f>'Oct 19'!$D64*$C$6*$C$2</f>
        <v>0</v>
      </c>
      <c r="F64" s="36">
        <v>43827.25</v>
      </c>
      <c r="G64" s="72">
        <f>'Oct 19'!$E64/'Oct 19'!$F64</f>
        <v>0</v>
      </c>
      <c r="H64" s="34">
        <v>4</v>
      </c>
      <c r="I64" s="34">
        <v>0</v>
      </c>
      <c r="J64" s="38">
        <f t="shared" si="3"/>
        <v>-4</v>
      </c>
      <c r="K64" s="39">
        <f>'Oct 19'!$F64*'Oct 19'!$I64</f>
        <v>0</v>
      </c>
      <c r="L64" s="40">
        <f>'Oct 19'!$K64/$K$2</f>
        <v>0</v>
      </c>
      <c r="M64" s="41"/>
    </row>
    <row r="65" spans="1:13" s="43" customFormat="1" ht="25.5" x14ac:dyDescent="0.25">
      <c r="A65" s="34" t="s">
        <v>191</v>
      </c>
      <c r="B65" s="34" t="s">
        <v>200</v>
      </c>
      <c r="C65" s="34" t="s">
        <v>99</v>
      </c>
      <c r="D65" s="35">
        <v>9.7799999999999992E-4</v>
      </c>
      <c r="E65" s="36">
        <f>'Oct 19'!$D65*$C$6*$C$2</f>
        <v>181190.09621294399</v>
      </c>
      <c r="F65" s="36">
        <v>12083.5714285714</v>
      </c>
      <c r="G65" s="72">
        <f>'Oct 19'!$E65/'Oct 19'!$F65</f>
        <v>14.994746982214469</v>
      </c>
      <c r="H65" s="34">
        <v>14</v>
      </c>
      <c r="I65" s="34">
        <v>15</v>
      </c>
      <c r="J65" s="38">
        <f t="shared" si="3"/>
        <v>1</v>
      </c>
      <c r="K65" s="39">
        <f>'Oct 19'!$F65*'Oct 19'!$I65</f>
        <v>181253.57142857101</v>
      </c>
      <c r="L65" s="40">
        <f>'Oct 19'!$K65/$K$2</f>
        <v>9.759789001430036E-4</v>
      </c>
      <c r="M65" s="41"/>
    </row>
    <row r="66" spans="1:13" s="43" customFormat="1" ht="25.5" x14ac:dyDescent="0.25">
      <c r="A66" s="34" t="s">
        <v>191</v>
      </c>
      <c r="B66" s="34" t="s">
        <v>101</v>
      </c>
      <c r="C66" s="34" t="s">
        <v>102</v>
      </c>
      <c r="D66" s="35">
        <v>9.7799999999999992E-4</v>
      </c>
      <c r="E66" s="36">
        <f>'Oct 19'!$D66*$C$6*$C$2</f>
        <v>181190.09621294399</v>
      </c>
      <c r="F66" s="36">
        <v>91753</v>
      </c>
      <c r="G66" s="72">
        <f>'Oct 19'!$E66/'Oct 19'!$F66</f>
        <v>1.9747593671372488</v>
      </c>
      <c r="H66" s="34">
        <v>2</v>
      </c>
      <c r="I66" s="34">
        <v>2</v>
      </c>
      <c r="J66" s="38">
        <f t="shared" si="3"/>
        <v>0</v>
      </c>
      <c r="K66" s="39">
        <f>'Oct 19'!$F66*'Oct 19'!$I66</f>
        <v>183506</v>
      </c>
      <c r="L66" s="40">
        <f>'Oct 19'!$K66/$K$2</f>
        <v>9.8810733845441229E-4</v>
      </c>
      <c r="M66" s="41"/>
    </row>
    <row r="67" spans="1:13" s="2" customFormat="1" ht="25.5" x14ac:dyDescent="0.2">
      <c r="A67" s="34" t="s">
        <v>191</v>
      </c>
      <c r="B67" s="61" t="s">
        <v>132</v>
      </c>
      <c r="C67" s="61" t="s">
        <v>133</v>
      </c>
      <c r="D67" s="35">
        <v>9.7799999999999992E-4</v>
      </c>
      <c r="E67" s="36">
        <f>'Oct 19'!$D67*$C$6*$C$2</f>
        <v>181190.09621294399</v>
      </c>
      <c r="F67" s="36">
        <v>61957.333333333299</v>
      </c>
      <c r="G67" s="72">
        <f>'Oct 19'!$E67/'Oct 19'!$F67</f>
        <v>2.9244334199816664</v>
      </c>
      <c r="H67" s="34">
        <v>3</v>
      </c>
      <c r="I67" s="34">
        <v>3</v>
      </c>
      <c r="J67" s="38">
        <f t="shared" si="3"/>
        <v>0</v>
      </c>
      <c r="K67" s="39">
        <f>'Oct 19'!$F67*'Oct 19'!$I67</f>
        <v>185871.99999999988</v>
      </c>
      <c r="L67" s="40">
        <f>'Oct 19'!$K67/$K$2</f>
        <v>1.0008473140562075E-3</v>
      </c>
      <c r="M67" s="62"/>
    </row>
    <row r="68" spans="1:13" s="43" customFormat="1" ht="25.5" x14ac:dyDescent="0.25">
      <c r="A68" s="34" t="s">
        <v>191</v>
      </c>
      <c r="B68" s="34" t="s">
        <v>203</v>
      </c>
      <c r="C68" s="34" t="s">
        <v>204</v>
      </c>
      <c r="D68" s="55">
        <v>0</v>
      </c>
      <c r="E68" s="36">
        <f>'Oct 19'!$D68*$C$6*$C$2</f>
        <v>0</v>
      </c>
      <c r="F68" s="36">
        <v>124659</v>
      </c>
      <c r="G68" s="72">
        <f>'Oct 19'!$E68/'Oct 19'!$F68</f>
        <v>0</v>
      </c>
      <c r="H68" s="34">
        <v>1</v>
      </c>
      <c r="I68" s="34">
        <v>0</v>
      </c>
      <c r="J68" s="38">
        <f t="shared" si="3"/>
        <v>-1</v>
      </c>
      <c r="K68" s="39">
        <f>'Oct 19'!$F68*'Oct 19'!$I68</f>
        <v>0</v>
      </c>
      <c r="L68" s="40">
        <f>'Oct 19'!$K68/$K$2</f>
        <v>0</v>
      </c>
      <c r="M68" s="41"/>
    </row>
    <row r="69" spans="1:13" s="43" customFormat="1" ht="25.5" x14ac:dyDescent="0.25">
      <c r="A69" s="34" t="s">
        <v>191</v>
      </c>
      <c r="B69" s="34" t="s">
        <v>220</v>
      </c>
      <c r="C69" s="34" t="s">
        <v>90</v>
      </c>
      <c r="D69" s="35">
        <v>9.7799999999999992E-4</v>
      </c>
      <c r="E69" s="36">
        <f>'Oct 19'!$D69*$C$6*$C$2</f>
        <v>181190.09621294399</v>
      </c>
      <c r="F69" s="36">
        <v>27030</v>
      </c>
      <c r="G69" s="72">
        <f>'Oct 19'!$E69/'Oct 19'!$F69</f>
        <v>6.7032961972972247</v>
      </c>
      <c r="H69" s="34">
        <v>0</v>
      </c>
      <c r="I69" s="34">
        <v>6</v>
      </c>
      <c r="J69" s="38">
        <f t="shared" si="3"/>
        <v>6</v>
      </c>
      <c r="K69" s="39">
        <f>'Oct 19'!$F69*'Oct 19'!$I69</f>
        <v>162180</v>
      </c>
      <c r="L69" s="40">
        <f>'Oct 19'!$K69/$K$2</f>
        <v>8.7327525067592659E-4</v>
      </c>
      <c r="M69" s="41"/>
    </row>
    <row r="70" spans="1:13" s="43" customFormat="1" ht="25.5" x14ac:dyDescent="0.25">
      <c r="A70" s="34" t="s">
        <v>191</v>
      </c>
      <c r="B70" s="34" t="s">
        <v>221</v>
      </c>
      <c r="C70" s="34" t="s">
        <v>114</v>
      </c>
      <c r="D70" s="35">
        <v>9.7799999999999992E-4</v>
      </c>
      <c r="E70" s="36">
        <f>'Oct 19'!$D70*$C$6*$C$2</f>
        <v>181190.09621294399</v>
      </c>
      <c r="F70" s="36">
        <v>7615</v>
      </c>
      <c r="G70" s="72">
        <f>'Oct 19'!$E70/'Oct 19'!$F70</f>
        <v>23.793840605770715</v>
      </c>
      <c r="H70" s="34">
        <v>0</v>
      </c>
      <c r="I70" s="34">
        <v>24</v>
      </c>
      <c r="J70" s="38">
        <f t="shared" si="3"/>
        <v>24</v>
      </c>
      <c r="K70" s="39">
        <f>'Oct 19'!$F70*'Oct 19'!$I70</f>
        <v>182760</v>
      </c>
      <c r="L70" s="40">
        <f>'Oct 19'!$K70/$K$2</f>
        <v>9.8409042307024503E-4</v>
      </c>
      <c r="M70" s="41"/>
    </row>
    <row r="71" spans="1:13" s="43" customFormat="1" ht="25.5" x14ac:dyDescent="0.25">
      <c r="A71" s="34" t="s">
        <v>191</v>
      </c>
      <c r="B71" s="34" t="s">
        <v>222</v>
      </c>
      <c r="C71" s="34" t="s">
        <v>97</v>
      </c>
      <c r="D71" s="35">
        <v>9.7799999999999992E-4</v>
      </c>
      <c r="E71" s="36">
        <f>'Oct 19'!$D71*$C$6*$C$2</f>
        <v>181190.09621294399</v>
      </c>
      <c r="F71" s="36">
        <v>48636</v>
      </c>
      <c r="G71" s="72">
        <f>'Oct 19'!$E71/'Oct 19'!$F71</f>
        <v>3.7254317010639029</v>
      </c>
      <c r="H71" s="34">
        <v>0</v>
      </c>
      <c r="I71" s="34">
        <v>3</v>
      </c>
      <c r="J71" s="38">
        <f t="shared" si="3"/>
        <v>3</v>
      </c>
      <c r="K71" s="39">
        <f>'Oct 19'!$F71*'Oct 19'!$I71</f>
        <v>145908</v>
      </c>
      <c r="L71" s="40">
        <f>'Oct 19'!$K71/$K$2</f>
        <v>7.8565695693441303E-4</v>
      </c>
      <c r="M71" s="41"/>
    </row>
    <row r="72" spans="1:13" s="43" customFormat="1" ht="12.75" x14ac:dyDescent="0.25">
      <c r="A72" s="34"/>
      <c r="B72" s="34"/>
      <c r="C72" s="34"/>
      <c r="D72" s="35"/>
      <c r="E72" s="36"/>
      <c r="F72" s="36"/>
      <c r="G72" s="37"/>
      <c r="H72" s="34"/>
      <c r="I72" s="34"/>
      <c r="J72" s="41"/>
      <c r="K72" s="39"/>
      <c r="L72" s="40"/>
      <c r="M72" s="41"/>
    </row>
    <row r="73" spans="1:13" s="43" customFormat="1" ht="12.75" x14ac:dyDescent="0.25">
      <c r="A73" s="34"/>
      <c r="B73" s="34"/>
      <c r="C73" s="34"/>
      <c r="D73" s="35"/>
      <c r="E73" s="36"/>
      <c r="F73" s="36"/>
      <c r="G73" s="37"/>
      <c r="H73" s="34"/>
      <c r="I73" s="34"/>
      <c r="J73" s="41"/>
      <c r="K73" s="39"/>
      <c r="L73" s="40"/>
      <c r="M73" s="41"/>
    </row>
    <row r="74" spans="1:13" s="43" customFormat="1" ht="12.75" x14ac:dyDescent="0.25">
      <c r="A74" s="34"/>
      <c r="B74" s="34"/>
      <c r="C74" s="34"/>
      <c r="D74" s="35"/>
      <c r="E74" s="36"/>
      <c r="F74" s="36"/>
      <c r="G74" s="37"/>
      <c r="H74" s="34"/>
      <c r="I74" s="34"/>
      <c r="J74" s="41"/>
      <c r="K74" s="39"/>
      <c r="L74" s="40"/>
      <c r="M74" s="41"/>
    </row>
    <row r="75" spans="1:13" s="15" customFormat="1" ht="12.75" x14ac:dyDescent="0.2">
      <c r="A75" s="47" t="s">
        <v>205</v>
      </c>
      <c r="B75" s="65"/>
      <c r="C75" s="65"/>
      <c r="D75" s="88">
        <f>SUM(D59:D74)</f>
        <v>9.7799999999999988E-3</v>
      </c>
      <c r="E75" s="49">
        <f>SUM(E58:E74)</f>
        <v>1811900.9621294399</v>
      </c>
      <c r="F75" s="68"/>
      <c r="G75" s="68"/>
      <c r="H75" s="65"/>
      <c r="I75" s="65"/>
      <c r="J75" s="47"/>
      <c r="K75" s="49">
        <f>SUM(K58:K74)</f>
        <v>1819853.5714285709</v>
      </c>
      <c r="L75" s="52">
        <f>'Oct 19'!$K75/$K$2</f>
        <v>9.7991927721221214E-3</v>
      </c>
      <c r="M75" s="59"/>
    </row>
    <row r="76" spans="1:13" s="2" customFormat="1" ht="12.75" x14ac:dyDescent="0.2">
      <c r="A76" s="34"/>
      <c r="B76" s="61"/>
      <c r="C76" s="61"/>
      <c r="D76" s="74"/>
      <c r="E76" s="36"/>
      <c r="F76" s="36"/>
      <c r="G76" s="37"/>
      <c r="H76" s="61"/>
      <c r="I76" s="61"/>
      <c r="J76" s="34"/>
      <c r="K76" s="34"/>
      <c r="L76" s="40"/>
      <c r="M76" s="62"/>
    </row>
    <row r="77" spans="1:13" s="43" customFormat="1" ht="25.5" x14ac:dyDescent="0.25">
      <c r="A77" s="47" t="s">
        <v>206</v>
      </c>
      <c r="B77" s="54" t="s">
        <v>118</v>
      </c>
      <c r="C77" s="54" t="s">
        <v>119</v>
      </c>
      <c r="D77" s="55">
        <v>1.1083000000000001E-2</v>
      </c>
      <c r="E77" s="56">
        <f>'Oct 19'!$D77*$C$6*$C$2</f>
        <v>2053302.4911329839</v>
      </c>
      <c r="F77" s="56">
        <v>28479.069444444402</v>
      </c>
      <c r="G77" s="57">
        <f>'Oct 19'!$E77/'Oct 19'!$F77</f>
        <v>72.098651086141274</v>
      </c>
      <c r="H77" s="54">
        <v>72</v>
      </c>
      <c r="I77" s="54">
        <v>72</v>
      </c>
      <c r="J77" s="75">
        <f>I77-H77</f>
        <v>0</v>
      </c>
      <c r="K77" s="56">
        <f>'Oct 19'!$F77*'Oct 19'!$I77</f>
        <v>2050492.999999997</v>
      </c>
      <c r="L77" s="76">
        <f>'Oct 19'!$K77/$K$2</f>
        <v>1.1041095009151746E-2</v>
      </c>
      <c r="M77" s="54"/>
    </row>
    <row r="78" spans="1:13" s="2" customFormat="1" ht="12.75" x14ac:dyDescent="0.2">
      <c r="A78" s="34"/>
      <c r="B78" s="61"/>
      <c r="C78" s="61"/>
      <c r="D78" s="74"/>
      <c r="E78" s="36"/>
      <c r="F78" s="36"/>
      <c r="G78" s="37"/>
      <c r="H78" s="61"/>
      <c r="I78" s="61"/>
      <c r="J78" s="34"/>
      <c r="K78" s="34"/>
      <c r="L78" s="40"/>
      <c r="M78" s="62"/>
    </row>
    <row r="79" spans="1:13" s="2" customFormat="1" ht="12.75" x14ac:dyDescent="0.2">
      <c r="A79" s="34"/>
      <c r="B79" s="61"/>
      <c r="C79" s="61"/>
      <c r="D79" s="77"/>
      <c r="E79" s="63"/>
      <c r="F79" s="36"/>
      <c r="G79" s="37"/>
      <c r="H79" s="61"/>
      <c r="I79" s="61"/>
      <c r="J79" s="34"/>
      <c r="K79" s="34"/>
      <c r="L79" s="40"/>
      <c r="M79" s="62"/>
    </row>
    <row r="80" spans="1:13" s="15" customFormat="1" ht="12.75" x14ac:dyDescent="0.2">
      <c r="A80" s="47" t="s">
        <v>208</v>
      </c>
      <c r="B80" s="65"/>
      <c r="C80" s="65"/>
      <c r="D80" s="65"/>
      <c r="E80" s="78"/>
      <c r="F80" s="78"/>
      <c r="G80" s="47"/>
      <c r="H80" s="65"/>
      <c r="I80" s="65"/>
      <c r="J80" s="65"/>
      <c r="K80" s="78">
        <f>SUM(K29,K31,K46,K56,K75,K77:K77)</f>
        <v>185714641.37392023</v>
      </c>
      <c r="L80" s="52">
        <f>'Oct 19'!$K80/$K$2</f>
        <v>1</v>
      </c>
      <c r="M80" s="65"/>
    </row>
    <row r="81" spans="1:13" s="2" customFormat="1" ht="12.75" x14ac:dyDescent="0.2">
      <c r="A81" s="62"/>
      <c r="B81" s="62"/>
      <c r="C81" s="62"/>
      <c r="D81" s="79"/>
      <c r="E81" s="80"/>
      <c r="F81" s="36"/>
      <c r="G81" s="81"/>
      <c r="H81" s="62"/>
      <c r="I81" s="62"/>
      <c r="J81" s="62"/>
      <c r="K81" s="62"/>
      <c r="L81" s="40"/>
      <c r="M81" s="62"/>
    </row>
    <row r="82" spans="1:13" s="2" customFormat="1" ht="12.75" x14ac:dyDescent="0.2">
      <c r="A82" s="62"/>
      <c r="B82" s="62"/>
      <c r="C82" s="62"/>
      <c r="D82" s="79"/>
      <c r="E82" s="80"/>
      <c r="F82" s="36"/>
      <c r="G82" s="81"/>
      <c r="H82" s="62"/>
      <c r="I82" s="62"/>
      <c r="J82" s="62"/>
      <c r="K82" s="62"/>
      <c r="L82" s="40"/>
      <c r="M82" s="62"/>
    </row>
    <row r="83" spans="1:13" s="2" customFormat="1" ht="12.75" x14ac:dyDescent="0.2">
      <c r="A83" s="62"/>
      <c r="B83" s="62"/>
      <c r="C83" s="62"/>
      <c r="D83" s="79"/>
      <c r="E83" s="80"/>
      <c r="F83" s="36"/>
      <c r="G83" s="81"/>
      <c r="H83" s="62"/>
      <c r="I83" s="62"/>
      <c r="J83" s="62"/>
      <c r="K83" s="62"/>
      <c r="L83" s="40"/>
      <c r="M83" s="62"/>
    </row>
    <row r="84" spans="1:13" s="2" customFormat="1" ht="12.75" x14ac:dyDescent="0.2">
      <c r="A84" s="62"/>
      <c r="B84" s="62"/>
      <c r="C84" s="62"/>
      <c r="D84" s="79"/>
      <c r="E84" s="80"/>
      <c r="F84" s="36"/>
      <c r="G84" s="81"/>
      <c r="H84" s="62"/>
      <c r="I84" s="62"/>
      <c r="J84" s="62"/>
      <c r="K84" s="62"/>
      <c r="L84" s="40"/>
      <c r="M84" s="62"/>
    </row>
    <row r="85" spans="1:13" s="2" customFormat="1" ht="12.75" x14ac:dyDescent="0.2">
      <c r="A85" s="62"/>
      <c r="B85" s="62"/>
      <c r="C85" s="62"/>
      <c r="D85" s="79"/>
      <c r="E85" s="80"/>
      <c r="F85" s="36"/>
      <c r="G85" s="81"/>
      <c r="H85" s="62"/>
      <c r="I85" s="62"/>
      <c r="J85" s="62"/>
      <c r="K85" s="62"/>
      <c r="L85" s="40"/>
      <c r="M85" s="62"/>
    </row>
    <row r="86" spans="1:13" s="2" customFormat="1" ht="12.75" x14ac:dyDescent="0.2">
      <c r="A86" s="62"/>
      <c r="B86" s="62"/>
      <c r="C86" s="62"/>
      <c r="D86" s="79"/>
      <c r="E86" s="80"/>
      <c r="F86" s="36"/>
      <c r="G86" s="81"/>
      <c r="H86" s="62"/>
      <c r="I86" s="62"/>
      <c r="J86" s="62"/>
      <c r="K86" s="62"/>
      <c r="L86" s="40"/>
      <c r="M86" s="62"/>
    </row>
    <row r="87" spans="1:13" s="2" customFormat="1" ht="12.75" x14ac:dyDescent="0.2">
      <c r="A87" s="62"/>
      <c r="B87" s="62"/>
      <c r="C87" s="62"/>
      <c r="D87" s="79"/>
      <c r="E87" s="80"/>
      <c r="F87" s="36"/>
      <c r="G87" s="81"/>
      <c r="H87" s="62"/>
      <c r="I87" s="62"/>
      <c r="J87" s="62"/>
      <c r="K87" s="62"/>
      <c r="L87" s="40"/>
      <c r="M87" s="62"/>
    </row>
    <row r="88" spans="1:13" s="2" customFormat="1" ht="12.75" x14ac:dyDescent="0.2">
      <c r="A88" s="62"/>
      <c r="B88" s="62"/>
      <c r="C88" s="62"/>
      <c r="D88" s="79"/>
      <c r="E88" s="80"/>
      <c r="F88" s="36"/>
      <c r="G88" s="81"/>
      <c r="H88" s="62"/>
      <c r="I88" s="62"/>
      <c r="J88" s="62"/>
      <c r="K88" s="62"/>
      <c r="L88" s="40"/>
      <c r="M88" s="62"/>
    </row>
    <row r="89" spans="1:13" s="2" customFormat="1" ht="12.75" x14ac:dyDescent="0.2">
      <c r="A89" s="62"/>
      <c r="B89" s="62"/>
      <c r="C89" s="62"/>
      <c r="D89" s="79"/>
      <c r="E89" s="80"/>
      <c r="F89" s="36"/>
      <c r="G89" s="81"/>
      <c r="H89" s="62"/>
      <c r="I89" s="62"/>
      <c r="J89" s="62"/>
      <c r="K89" s="62"/>
      <c r="L89" s="40"/>
      <c r="M89" s="62"/>
    </row>
    <row r="90" spans="1:13" s="2" customFormat="1" ht="12.75" x14ac:dyDescent="0.2"/>
    <row r="91" spans="1:13" s="2" customFormat="1" ht="12.75" x14ac:dyDescent="0.2"/>
    <row r="93" spans="1:13" s="2" customFormat="1" ht="12.75" x14ac:dyDescent="0.2">
      <c r="A93" s="82"/>
      <c r="B93" s="82"/>
      <c r="E93" s="82"/>
      <c r="F93" s="82"/>
      <c r="G93" s="82"/>
      <c r="H93" s="83"/>
      <c r="M93" s="82"/>
    </row>
    <row r="94" spans="1:13" s="2" customFormat="1" ht="12.75" x14ac:dyDescent="0.2">
      <c r="A94" s="82"/>
      <c r="B94" s="82"/>
      <c r="E94" s="82"/>
      <c r="F94" s="82"/>
      <c r="G94" s="82"/>
      <c r="H94" s="83"/>
      <c r="M94" s="82"/>
    </row>
    <row r="95" spans="1:13" s="2" customFormat="1" ht="12.75" x14ac:dyDescent="0.2">
      <c r="A95" s="84"/>
      <c r="B95" s="84"/>
    </row>
    <row r="96" spans="1:13" s="2" customFormat="1" ht="12.75" x14ac:dyDescent="0.2">
      <c r="A96" s="85"/>
      <c r="B96" s="85"/>
      <c r="E96" s="85"/>
      <c r="F96" s="84"/>
      <c r="G96" s="84"/>
      <c r="M96" s="86"/>
    </row>
    <row r="97" s="2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MH88"/>
  <sheetViews>
    <sheetView zoomScale="125" zoomScaleNormal="125" workbookViewId="0">
      <pane xSplit="2" topLeftCell="C1" activePane="topRight" state="frozen"/>
      <selection pane="topRight" activeCell="G12" sqref="G12"/>
    </sheetView>
  </sheetViews>
  <sheetFormatPr defaultColWidth="9.140625" defaultRowHeight="15" x14ac:dyDescent="0.25"/>
  <cols>
    <col min="1" max="2" width="15.140625" style="2" customWidth="1"/>
    <col min="3" max="3" width="29.28515625" style="2" customWidth="1"/>
    <col min="4" max="4" width="14.85546875" style="2" customWidth="1"/>
    <col min="5" max="5" width="27.42578125" style="2" customWidth="1"/>
    <col min="6" max="7" width="13.7109375" style="2" customWidth="1"/>
    <col min="8" max="8" width="16.5703125" style="2" customWidth="1"/>
    <col min="9" max="9" width="15.5703125" style="2" customWidth="1"/>
    <col min="10" max="10" width="13.42578125" customWidth="1"/>
    <col min="11" max="11" width="23.5703125" customWidth="1"/>
    <col min="12" max="12" width="13.42578125" customWidth="1"/>
    <col min="13" max="13" width="22.5703125" style="2" customWidth="1"/>
    <col min="14" max="16" width="10.85546875" style="2" customWidth="1"/>
    <col min="17" max="17" width="11.28515625" style="2" customWidth="1"/>
    <col min="18" max="1022" width="9.140625" style="2"/>
  </cols>
  <sheetData>
    <row r="1" spans="1:17" s="2" customFormat="1" ht="25.5" x14ac:dyDescent="0.2">
      <c r="A1" s="3"/>
      <c r="B1" s="3" t="s">
        <v>138</v>
      </c>
      <c r="C1" s="4">
        <v>44124</v>
      </c>
      <c r="D1" s="5"/>
      <c r="E1" s="6" t="s">
        <v>139</v>
      </c>
      <c r="F1" s="7"/>
      <c r="G1" s="8"/>
      <c r="K1" s="9" t="s">
        <v>140</v>
      </c>
      <c r="L1" s="9" t="s">
        <v>141</v>
      </c>
      <c r="M1" s="10" t="s">
        <v>142</v>
      </c>
    </row>
    <row r="2" spans="1:17" x14ac:dyDescent="0.25">
      <c r="A2" s="3"/>
      <c r="B2" s="3" t="s">
        <v>143</v>
      </c>
      <c r="C2" s="11">
        <v>8.7270000000000003</v>
      </c>
      <c r="D2" s="12"/>
      <c r="E2" s="13">
        <f>SUM(E25,E40,E50,E66,E27,E68)</f>
        <v>173262133.36949301</v>
      </c>
      <c r="F2" s="14"/>
      <c r="G2" s="15"/>
      <c r="H2" s="12"/>
      <c r="I2" s="12"/>
      <c r="J2" s="12"/>
      <c r="K2" s="13">
        <f>SUM(K25,K40,K50,K66,K27,K68:K68)</f>
        <v>179502330.15808374</v>
      </c>
      <c r="L2" s="16">
        <f>SUM(L50,L66,L40,L25,L27,L68)</f>
        <v>1</v>
      </c>
      <c r="M2" s="17">
        <f>K2/$C$6</f>
        <v>9.0411844388020359</v>
      </c>
      <c r="N2" s="18"/>
    </row>
    <row r="3" spans="1:17" ht="26.25" x14ac:dyDescent="0.25">
      <c r="A3" s="3"/>
      <c r="B3" s="3" t="s">
        <v>144</v>
      </c>
      <c r="C3" s="19">
        <v>19853851.16</v>
      </c>
      <c r="D3" s="20"/>
      <c r="E3" s="6" t="s">
        <v>145</v>
      </c>
      <c r="F3" s="14"/>
      <c r="G3" s="15"/>
      <c r="H3" s="12"/>
      <c r="I3" s="12"/>
      <c r="J3" s="12"/>
      <c r="K3" s="6" t="s">
        <v>145</v>
      </c>
      <c r="L3" s="12"/>
      <c r="M3" s="10" t="s">
        <v>146</v>
      </c>
      <c r="N3" s="21"/>
    </row>
    <row r="4" spans="1:17" x14ac:dyDescent="0.25">
      <c r="A4" s="3"/>
      <c r="B4" s="3" t="s">
        <v>147</v>
      </c>
      <c r="C4" s="19">
        <v>0</v>
      </c>
      <c r="D4" s="20"/>
      <c r="E4" s="13">
        <f>SUM(E25,E66,E27)</f>
        <v>33947898.323794663</v>
      </c>
      <c r="F4" s="14"/>
      <c r="G4" s="15"/>
      <c r="H4" s="12"/>
      <c r="I4" s="12"/>
      <c r="J4" s="12"/>
      <c r="K4" s="13">
        <f>SUM(K25,K27,K66)</f>
        <v>34048440.873762108</v>
      </c>
      <c r="L4" s="12"/>
      <c r="M4" s="17">
        <f>K4/$C$6</f>
        <v>1.7149539703591747</v>
      </c>
      <c r="N4" s="21"/>
    </row>
    <row r="5" spans="1:17" x14ac:dyDescent="0.25">
      <c r="A5" s="3"/>
      <c r="B5" s="3" t="s">
        <v>148</v>
      </c>
      <c r="C5" s="19">
        <v>0</v>
      </c>
      <c r="D5" s="20"/>
      <c r="E5" s="14"/>
      <c r="F5" s="14"/>
      <c r="G5" s="22">
        <f>SUM(D25,D27,D40,D50,D66,D68:D68)</f>
        <v>0.99998600000000004</v>
      </c>
      <c r="H5" s="12"/>
      <c r="I5" s="12"/>
      <c r="J5" s="12"/>
      <c r="K5" s="12"/>
      <c r="L5" s="12"/>
      <c r="M5" s="12"/>
      <c r="N5" s="21"/>
    </row>
    <row r="6" spans="1:17" x14ac:dyDescent="0.25">
      <c r="A6" s="3"/>
      <c r="B6" s="3" t="s">
        <v>149</v>
      </c>
      <c r="C6" s="19">
        <f>C3+C4-C5</f>
        <v>19853851.16</v>
      </c>
      <c r="D6" s="20"/>
      <c r="E6" s="14"/>
      <c r="F6" s="14"/>
      <c r="G6" s="15"/>
      <c r="H6" s="12"/>
      <c r="I6" s="12"/>
      <c r="J6" s="12"/>
      <c r="K6" s="12"/>
      <c r="L6" s="12"/>
      <c r="M6" s="12"/>
      <c r="N6" s="21"/>
    </row>
    <row r="7" spans="1:17" x14ac:dyDescent="0.25">
      <c r="A7" s="23"/>
      <c r="B7" s="24"/>
      <c r="C7" s="24"/>
      <c r="D7" s="25"/>
      <c r="E7" s="26"/>
      <c r="F7" s="26"/>
      <c r="G7" s="26"/>
      <c r="H7" s="27"/>
      <c r="I7" s="27"/>
      <c r="J7" s="27"/>
      <c r="K7" s="12"/>
      <c r="L7" s="12"/>
      <c r="M7" s="12"/>
      <c r="N7" s="21"/>
    </row>
    <row r="8" spans="1:17" s="32" customFormat="1" ht="38.25" x14ac:dyDescent="0.2">
      <c r="A8" s="28" t="s">
        <v>150</v>
      </c>
      <c r="B8" s="28" t="s">
        <v>151</v>
      </c>
      <c r="C8" s="29" t="s">
        <v>1</v>
      </c>
      <c r="D8" s="29" t="s">
        <v>152</v>
      </c>
      <c r="E8" s="29" t="s">
        <v>153</v>
      </c>
      <c r="F8" s="29" t="s">
        <v>154</v>
      </c>
      <c r="G8" s="29" t="s">
        <v>155</v>
      </c>
      <c r="H8" s="29" t="s">
        <v>156</v>
      </c>
      <c r="I8" s="29" t="s">
        <v>157</v>
      </c>
      <c r="J8" s="29" t="s">
        <v>158</v>
      </c>
      <c r="K8" s="30" t="s">
        <v>159</v>
      </c>
      <c r="L8" s="30" t="s">
        <v>160</v>
      </c>
      <c r="M8" s="30" t="s">
        <v>161</v>
      </c>
      <c r="N8" s="31"/>
      <c r="Q8" s="33"/>
    </row>
    <row r="9" spans="1:17" s="43" customFormat="1" ht="12.75" x14ac:dyDescent="0.25">
      <c r="A9" s="34" t="s">
        <v>162</v>
      </c>
      <c r="B9" s="34" t="s">
        <v>46</v>
      </c>
      <c r="C9" s="34" t="s">
        <v>47</v>
      </c>
      <c r="D9" s="35">
        <v>1.2812E-2</v>
      </c>
      <c r="E9" s="36">
        <f>'Oct 20'!$D9*$C$6*$C$2</f>
        <v>2219865.5308473757</v>
      </c>
      <c r="F9" s="36">
        <v>546</v>
      </c>
      <c r="G9" s="37">
        <f>'Oct 20'!$E9/'Oct 20'!$F9</f>
        <v>4065.687785434754</v>
      </c>
      <c r="H9" s="34">
        <v>4242</v>
      </c>
      <c r="I9" s="34">
        <f>ROUND(Table1389584567991011121314456267891011121314151617181920213456789101112131415[[#This Row],[Target Quantity]],0)</f>
        <v>4066</v>
      </c>
      <c r="J9" s="38">
        <f t="shared" ref="J9:J23" si="0">I9-H9</f>
        <v>-176</v>
      </c>
      <c r="K9" s="39">
        <f>'Oct 20'!$F9*'Oct 20'!$I9</f>
        <v>2220036</v>
      </c>
      <c r="L9" s="40">
        <f>'Oct 20'!$K9/$K$2</f>
        <v>1.2367728029184153E-2</v>
      </c>
      <c r="M9" s="41"/>
      <c r="N9" s="42"/>
      <c r="O9" s="87"/>
    </row>
    <row r="10" spans="1:17" s="43" customFormat="1" ht="12.75" customHeight="1" x14ac:dyDescent="0.25">
      <c r="A10" s="34" t="s">
        <v>162</v>
      </c>
      <c r="B10" s="34" t="s">
        <v>55</v>
      </c>
      <c r="C10" s="34" t="s">
        <v>56</v>
      </c>
      <c r="D10" s="35">
        <v>1.2812E-2</v>
      </c>
      <c r="E10" s="36">
        <f>'Oct 20'!$D10*$C$6*$C$2</f>
        <v>2219865.5308473757</v>
      </c>
      <c r="F10" s="36">
        <v>436.44998112495301</v>
      </c>
      <c r="G10" s="37">
        <f>'Oct 20'!$E10/'Oct 20'!$F10</f>
        <v>5086.185420665287</v>
      </c>
      <c r="H10" s="34">
        <v>5298</v>
      </c>
      <c r="I10" s="34">
        <f>ROUND(Table1389584567991011121314456267891011121314151617181920213456789101112131415[[#This Row],[Target Quantity]],0)</f>
        <v>5086</v>
      </c>
      <c r="J10" s="38">
        <f t="shared" si="0"/>
        <v>-212</v>
      </c>
      <c r="K10" s="39">
        <f>'Oct 20'!$F10*'Oct 20'!$I10</f>
        <v>2219784.6040015109</v>
      </c>
      <c r="L10" s="40">
        <f>'Oct 20'!$K10/$K$2</f>
        <v>1.236632751255427E-2</v>
      </c>
      <c r="M10" s="41"/>
    </row>
    <row r="11" spans="1:17" s="43" customFormat="1" ht="12.75" customHeight="1" x14ac:dyDescent="0.25">
      <c r="A11" s="34" t="s">
        <v>162</v>
      </c>
      <c r="B11" s="34" t="s">
        <v>37</v>
      </c>
      <c r="C11" s="34" t="s">
        <v>38</v>
      </c>
      <c r="D11" s="35">
        <v>1.2812E-2</v>
      </c>
      <c r="E11" s="36">
        <f>'Oct 20'!$D11*$C$6*$C$2</f>
        <v>2219865.5308473757</v>
      </c>
      <c r="F11" s="36">
        <v>81.5</v>
      </c>
      <c r="G11" s="37">
        <f>'Oct 20'!$E11/'Oct 20'!$F11</f>
        <v>27237.613875427924</v>
      </c>
      <c r="H11" s="34">
        <v>28802</v>
      </c>
      <c r="I11" s="34">
        <f>ROUND(Table1389584567991011121314456267891011121314151617181920213456789101112131415[[#This Row],[Target Quantity]],0)</f>
        <v>27238</v>
      </c>
      <c r="J11" s="38">
        <f t="shared" si="0"/>
        <v>-1564</v>
      </c>
      <c r="K11" s="39">
        <f>'Oct 20'!$F11*'Oct 20'!$I11</f>
        <v>2219897</v>
      </c>
      <c r="L11" s="40">
        <f>'Oct 20'!$K11/$K$2</f>
        <v>1.2366953665977403E-2</v>
      </c>
      <c r="M11" s="41"/>
    </row>
    <row r="12" spans="1:17" s="44" customFormat="1" ht="12.75" customHeight="1" x14ac:dyDescent="0.25">
      <c r="A12" s="34" t="s">
        <v>162</v>
      </c>
      <c r="B12" s="34" t="s">
        <v>23</v>
      </c>
      <c r="C12" s="34" t="s">
        <v>24</v>
      </c>
      <c r="D12" s="35">
        <v>1.2812E-2</v>
      </c>
      <c r="E12" s="36">
        <f>'Oct 20'!$D12*$C$6*$C$2</f>
        <v>2219865.5308473757</v>
      </c>
      <c r="F12" s="36">
        <v>228.41001706313401</v>
      </c>
      <c r="G12" s="37">
        <f>'Oct 20'!$E12/'Oct 20'!$F12</f>
        <v>9718.7748566814844</v>
      </c>
      <c r="H12" s="34">
        <v>9963</v>
      </c>
      <c r="I12" s="34">
        <f>ROUND(Table1389584567991011121314456267891011121314151617181920213456789101112131415[[#This Row],[Target Quantity]],0)</f>
        <v>9719</v>
      </c>
      <c r="J12" s="38">
        <f t="shared" si="0"/>
        <v>-244</v>
      </c>
      <c r="K12" s="39">
        <f>'Oct 20'!$F12*'Oct 20'!$I12</f>
        <v>2219916.9558365992</v>
      </c>
      <c r="L12" s="40">
        <f>'Oct 20'!$K12/$K$2</f>
        <v>1.2367064839111378E-2</v>
      </c>
      <c r="M12" s="34"/>
    </row>
    <row r="13" spans="1:17" s="44" customFormat="1" ht="12.75" customHeight="1" x14ac:dyDescent="0.25">
      <c r="A13" s="34" t="s">
        <v>162</v>
      </c>
      <c r="B13" s="34" t="s">
        <v>60</v>
      </c>
      <c r="C13" s="34" t="s">
        <v>61</v>
      </c>
      <c r="D13" s="35">
        <v>1.2812E-2</v>
      </c>
      <c r="E13" s="36">
        <f>'Oct 20'!$D13*$C$6*$C$2</f>
        <v>2219865.5308473757</v>
      </c>
      <c r="F13" s="36">
        <v>572.04989206044604</v>
      </c>
      <c r="G13" s="37">
        <f>'Oct 20'!$E13/'Oct 20'!$F13</f>
        <v>3880.5453189611162</v>
      </c>
      <c r="H13" s="34">
        <v>4169</v>
      </c>
      <c r="I13" s="34">
        <f>ROUND(Table1389584567991011121314456267891011121314151617181920213456789101112131415[[#This Row],[Target Quantity]],0)</f>
        <v>3881</v>
      </c>
      <c r="J13" s="38">
        <f t="shared" si="0"/>
        <v>-288</v>
      </c>
      <c r="K13" s="39">
        <f>'Oct 20'!$F13*'Oct 20'!$I13</f>
        <v>2220125.6310865912</v>
      </c>
      <c r="L13" s="40">
        <f>'Oct 20'!$K13/$K$2</f>
        <v>1.2368227360231901E-2</v>
      </c>
      <c r="M13" s="34"/>
    </row>
    <row r="14" spans="1:17" s="44" customFormat="1" ht="12.75" customHeight="1" x14ac:dyDescent="0.25">
      <c r="A14" s="34" t="s">
        <v>162</v>
      </c>
      <c r="B14" s="34" t="s">
        <v>165</v>
      </c>
      <c r="C14" s="34" t="s">
        <v>166</v>
      </c>
      <c r="D14" s="35">
        <v>1.2812E-2</v>
      </c>
      <c r="E14" s="36">
        <f>'Oct 20'!$D14*$C$6*$C$2</f>
        <v>2219865.5308473757</v>
      </c>
      <c r="F14" s="36">
        <v>286.06004191838201</v>
      </c>
      <c r="G14" s="37">
        <f>'Oct 20'!$E14/'Oct 20'!$F14</f>
        <v>7760.138451915429</v>
      </c>
      <c r="H14" s="34">
        <v>8111</v>
      </c>
      <c r="I14" s="34">
        <f>ROUND(Table1389584567991011121314456267891011121314151617181920213456789101112131415[[#This Row],[Target Quantity]],0)</f>
        <v>7760</v>
      </c>
      <c r="J14" s="38">
        <f t="shared" si="0"/>
        <v>-351</v>
      </c>
      <c r="K14" s="39">
        <f>'Oct 20'!$F14*'Oct 20'!$I14</f>
        <v>2219825.9252866446</v>
      </c>
      <c r="L14" s="40">
        <f>'Oct 20'!$K14/$K$2</f>
        <v>1.2366557711711558E-2</v>
      </c>
      <c r="M14" s="34"/>
    </row>
    <row r="15" spans="1:17" s="44" customFormat="1" ht="12.75" customHeight="1" x14ac:dyDescent="0.25">
      <c r="A15" s="34" t="s">
        <v>162</v>
      </c>
      <c r="B15" s="34" t="s">
        <v>43</v>
      </c>
      <c r="C15" s="34" t="s">
        <v>44</v>
      </c>
      <c r="D15" s="35">
        <v>1.2812E-2</v>
      </c>
      <c r="E15" s="36">
        <f>'Oct 20'!$D15*$C$6*$C$2</f>
        <v>2219865.5308473757</v>
      </c>
      <c r="F15" s="36">
        <v>1284.0499194847</v>
      </c>
      <c r="G15" s="37">
        <f>'Oct 20'!$E15/'Oct 20'!$F15</f>
        <v>1728.8000233964628</v>
      </c>
      <c r="H15" s="34">
        <v>1863</v>
      </c>
      <c r="I15" s="34">
        <f>ROUND(Table1389584567991011121314456267891011121314151617181920213456789101112131415[[#This Row],[Target Quantity]],0)</f>
        <v>1729</v>
      </c>
      <c r="J15" s="38">
        <f t="shared" si="0"/>
        <v>-134</v>
      </c>
      <c r="K15" s="39">
        <f>'Oct 20'!$F15*'Oct 20'!$I15</f>
        <v>2220122.3107890463</v>
      </c>
      <c r="L15" s="40">
        <f>'Oct 20'!$K15/$K$2</f>
        <v>1.2368208862992662E-2</v>
      </c>
      <c r="M15" s="34"/>
    </row>
    <row r="16" spans="1:17" s="44" customFormat="1" ht="12.75" customHeight="1" x14ac:dyDescent="0.25">
      <c r="A16" s="34" t="s">
        <v>162</v>
      </c>
      <c r="B16" s="34" t="s">
        <v>167</v>
      </c>
      <c r="C16" s="34" t="s">
        <v>168</v>
      </c>
      <c r="D16" s="35">
        <v>1.2812E-2</v>
      </c>
      <c r="E16" s="36">
        <f>'Oct 20'!$D16*$C$6*$C$2</f>
        <v>2219865.5308473757</v>
      </c>
      <c r="F16" s="36">
        <v>172.099970401066</v>
      </c>
      <c r="G16" s="37">
        <f>'Oct 20'!$E16/'Oct 20'!$F16</f>
        <v>12898.697923504267</v>
      </c>
      <c r="H16" s="34">
        <v>13514</v>
      </c>
      <c r="I16" s="34">
        <f>ROUND(Table1389584567991011121314456267891011121314151617181920213456789101112131415[[#This Row],[Target Quantity]],0)</f>
        <v>12899</v>
      </c>
      <c r="J16" s="38">
        <f t="shared" si="0"/>
        <v>-615</v>
      </c>
      <c r="K16" s="39">
        <f>'Oct 20'!$F16*'Oct 20'!$I16</f>
        <v>2219917.5182033502</v>
      </c>
      <c r="L16" s="40">
        <f>'Oct 20'!$K16/$K$2</f>
        <v>1.2367067972033109E-2</v>
      </c>
      <c r="M16" s="34"/>
    </row>
    <row r="17" spans="1:15" s="44" customFormat="1" ht="12.75" customHeight="1" x14ac:dyDescent="0.25">
      <c r="A17" s="34" t="s">
        <v>162</v>
      </c>
      <c r="B17" s="34" t="s">
        <v>28</v>
      </c>
      <c r="C17" s="34" t="s">
        <v>29</v>
      </c>
      <c r="D17" s="35">
        <v>1.2812E-2</v>
      </c>
      <c r="E17" s="36">
        <f>'Oct 20'!$D17*$C$6*$C$2</f>
        <v>2219865.5308473757</v>
      </c>
      <c r="F17" s="36">
        <v>281.96999519923202</v>
      </c>
      <c r="G17" s="37">
        <f>'Oct 20'!$E17/'Oct 20'!$F17</f>
        <v>7872.7012399985379</v>
      </c>
      <c r="H17" s="34">
        <v>8332</v>
      </c>
      <c r="I17" s="34">
        <f>ROUND(Table1389584567991011121314456267891011121314151617181920213456789101112131415[[#This Row],[Target Quantity]],0)</f>
        <v>7873</v>
      </c>
      <c r="J17" s="38">
        <f t="shared" si="0"/>
        <v>-459</v>
      </c>
      <c r="K17" s="39">
        <f>'Oct 20'!$F17*'Oct 20'!$I17</f>
        <v>2219949.7722035535</v>
      </c>
      <c r="L17" s="40">
        <f>'Oct 20'!$K17/$K$2</f>
        <v>1.2367247657723957E-2</v>
      </c>
      <c r="M17" s="34"/>
    </row>
    <row r="18" spans="1:15" s="44" customFormat="1" ht="12.75" customHeight="1" x14ac:dyDescent="0.25">
      <c r="A18" s="34" t="s">
        <v>162</v>
      </c>
      <c r="B18" s="34" t="s">
        <v>19</v>
      </c>
      <c r="C18" s="34" t="s">
        <v>20</v>
      </c>
      <c r="D18" s="35">
        <v>1.2812E-2</v>
      </c>
      <c r="E18" s="36">
        <f>'Oct 20'!$D18*$C$6*$C$2</f>
        <v>2219865.5308473757</v>
      </c>
      <c r="F18" s="36">
        <v>1335.5899321267</v>
      </c>
      <c r="G18" s="37">
        <f>'Oct 20'!$E18/'Oct 20'!$F18</f>
        <v>1662.0861519318412</v>
      </c>
      <c r="H18" s="34">
        <v>1768</v>
      </c>
      <c r="I18" s="34">
        <f>ROUND(Table1389584567991011121314456267891011121314151617181920213456789101112131415[[#This Row],[Target Quantity]],0)</f>
        <v>1662</v>
      </c>
      <c r="J18" s="38">
        <f t="shared" si="0"/>
        <v>-106</v>
      </c>
      <c r="K18" s="39">
        <f>'Oct 20'!$F18*'Oct 20'!$I18</f>
        <v>2219750.4671945754</v>
      </c>
      <c r="L18" s="40">
        <f>'Oct 20'!$K18/$K$2</f>
        <v>1.2366137337825588E-2</v>
      </c>
      <c r="M18" s="34"/>
    </row>
    <row r="19" spans="1:15" s="44" customFormat="1" ht="12.75" customHeight="1" x14ac:dyDescent="0.25">
      <c r="A19" s="34" t="s">
        <v>162</v>
      </c>
      <c r="B19" s="34" t="s">
        <v>25</v>
      </c>
      <c r="C19" s="34" t="s">
        <v>26</v>
      </c>
      <c r="D19" s="35">
        <v>6.4060000000000002E-3</v>
      </c>
      <c r="E19" s="36">
        <f>'Oct 20'!$D19*$C$6*$C$2</f>
        <v>1109932.7654236879</v>
      </c>
      <c r="F19" s="36">
        <v>17.139998841788302</v>
      </c>
      <c r="G19" s="37">
        <f>'Oct 20'!$E19/'Oct 20'!$F19</f>
        <v>64756.875170703512</v>
      </c>
      <c r="H19" s="34">
        <v>69072</v>
      </c>
      <c r="I19" s="34">
        <f>ROUND(Table1389584567991011121314456267891011121314151617181920213456789101112131415[[#This Row],[Target Quantity]],0)</f>
        <v>64757</v>
      </c>
      <c r="J19" s="38">
        <f t="shared" si="0"/>
        <v>-4315</v>
      </c>
      <c r="K19" s="39">
        <f>'Oct 20'!$F19*'Oct 20'!$I19</f>
        <v>1109934.904997685</v>
      </c>
      <c r="L19" s="40">
        <f>'Oct 20'!$K19/$K$2</f>
        <v>6.1834010957974184E-3</v>
      </c>
      <c r="M19" s="34"/>
    </row>
    <row r="20" spans="1:15" s="44" customFormat="1" ht="12.75" customHeight="1" x14ac:dyDescent="0.25">
      <c r="A20" s="34" t="s">
        <v>162</v>
      </c>
      <c r="B20" s="34" t="s">
        <v>214</v>
      </c>
      <c r="C20" s="34" t="s">
        <v>215</v>
      </c>
      <c r="D20" s="35">
        <v>6.4060000000000002E-3</v>
      </c>
      <c r="E20" s="36">
        <f>'Oct 20'!$D20*$C$6*$C$2</f>
        <v>1109932.7654236879</v>
      </c>
      <c r="F20" s="36">
        <v>82.539995710915704</v>
      </c>
      <c r="G20" s="37">
        <f>'Oct 20'!$E20/'Oct 20'!$F20</f>
        <v>13447.211329051501</v>
      </c>
      <c r="H20" s="34">
        <v>13989</v>
      </c>
      <c r="I20" s="34">
        <f>ROUND(Table1389584567991011121314456267891011121314151617181920213456789101112131415[[#This Row],[Target Quantity]],0)</f>
        <v>13447</v>
      </c>
      <c r="J20" s="38">
        <f t="shared" si="0"/>
        <v>-542</v>
      </c>
      <c r="K20" s="39">
        <f>'Oct 20'!$F20*'Oct 20'!$I20</f>
        <v>1109915.3223246834</v>
      </c>
      <c r="L20" s="40">
        <f>'Oct 20'!$K20/$K$2</f>
        <v>6.1832920015422949E-3</v>
      </c>
      <c r="M20" s="34"/>
    </row>
    <row r="21" spans="1:15" s="44" customFormat="1" ht="12.75" customHeight="1" x14ac:dyDescent="0.25">
      <c r="A21" s="34" t="s">
        <v>162</v>
      </c>
      <c r="B21" s="34" t="s">
        <v>216</v>
      </c>
      <c r="C21" s="34" t="s">
        <v>217</v>
      </c>
      <c r="D21" s="35">
        <v>6.4060000000000002E-3</v>
      </c>
      <c r="E21" s="36">
        <f>'Oct 20'!$D21*$C$6*$C$2</f>
        <v>1109932.7654236879</v>
      </c>
      <c r="F21" s="36">
        <v>75.789990888975694</v>
      </c>
      <c r="G21" s="37">
        <f>'Oct 20'!$E21/'Oct 20'!$F21</f>
        <v>14644.846270658902</v>
      </c>
      <c r="H21" s="34">
        <v>15366</v>
      </c>
      <c r="I21" s="34">
        <f>ROUND(Table1389584567991011121314456267891011121314151617181920213456789101112131415[[#This Row],[Target Quantity]],0)</f>
        <v>14645</v>
      </c>
      <c r="J21" s="38">
        <f t="shared" si="0"/>
        <v>-721</v>
      </c>
      <c r="K21" s="39">
        <f>'Oct 20'!$F21*'Oct 20'!$I21</f>
        <v>1109944.416569049</v>
      </c>
      <c r="L21" s="40">
        <f>'Oct 20'!$K21/$K$2</f>
        <v>6.1834540843650632E-3</v>
      </c>
      <c r="M21" s="34"/>
    </row>
    <row r="22" spans="1:15" s="44" customFormat="1" ht="12.75" customHeight="1" x14ac:dyDescent="0.25">
      <c r="A22" s="34" t="s">
        <v>162</v>
      </c>
      <c r="B22" s="34" t="s">
        <v>218</v>
      </c>
      <c r="C22" s="34" t="s">
        <v>219</v>
      </c>
      <c r="D22" s="35">
        <v>1.2812E-2</v>
      </c>
      <c r="E22" s="36">
        <f>'Oct 20'!$D22*$C$6*$C$2</f>
        <v>2219865.5308473757</v>
      </c>
      <c r="F22" s="36">
        <v>174.52996465899699</v>
      </c>
      <c r="G22" s="37">
        <f>'Oct 20'!$E22/'Oct 20'!$F22</f>
        <v>12719.108350159986</v>
      </c>
      <c r="H22" s="34">
        <v>13299</v>
      </c>
      <c r="I22" s="34">
        <f>ROUND(Table1389584567991011121314456267891011121314151617181920213456789101112131415[[#This Row],[Target Quantity]],0)</f>
        <v>12719</v>
      </c>
      <c r="J22" s="38">
        <f t="shared" si="0"/>
        <v>-580</v>
      </c>
      <c r="K22" s="39">
        <f>'Oct 20'!$F22*'Oct 20'!$I22</f>
        <v>2219846.6204977827</v>
      </c>
      <c r="L22" s="40">
        <f>'Oct 20'!$K22/$K$2</f>
        <v>1.2366673003870272E-2</v>
      </c>
      <c r="M22" s="34"/>
    </row>
    <row r="23" spans="1:15" s="44" customFormat="1" ht="12.75" customHeight="1" x14ac:dyDescent="0.25">
      <c r="A23" s="34" t="s">
        <v>162</v>
      </c>
      <c r="B23" s="34" t="s">
        <v>40</v>
      </c>
      <c r="C23" s="34" t="s">
        <v>41</v>
      </c>
      <c r="D23" s="35">
        <v>6.4060000000000002E-3</v>
      </c>
      <c r="E23" s="36">
        <f>'Oct 20'!$D23*$C$6*$C$2</f>
        <v>1109932.7654236879</v>
      </c>
      <c r="F23" s="36">
        <v>33.130014336716101</v>
      </c>
      <c r="G23" s="37">
        <f>'Oct 20'!$E23/'Oct 20'!$F23</f>
        <v>33502.332783285667</v>
      </c>
      <c r="H23" s="34">
        <v>35573</v>
      </c>
      <c r="I23" s="34">
        <f>ROUND(Table1389584567991011121314456267891011121314151617181920213456789101112131415[[#This Row],[Target Quantity]],0)</f>
        <v>33502</v>
      </c>
      <c r="J23" s="38">
        <f t="shared" si="0"/>
        <v>-2071</v>
      </c>
      <c r="K23" s="39">
        <f>'Oct 20'!$F23*'Oct 20'!$I23</f>
        <v>1109921.7403086629</v>
      </c>
      <c r="L23" s="40">
        <f>'Oct 20'!$K23/$K$2</f>
        <v>6.1833277558635555E-3</v>
      </c>
      <c r="M23" s="34"/>
    </row>
    <row r="24" spans="1:15" s="44" customFormat="1" ht="12.75" customHeight="1" x14ac:dyDescent="0.25">
      <c r="A24" s="34"/>
      <c r="B24" s="34"/>
      <c r="C24" s="34"/>
      <c r="D24" s="35"/>
      <c r="E24" s="36"/>
      <c r="F24" s="36"/>
      <c r="G24" s="37"/>
      <c r="H24" s="34"/>
      <c r="I24" s="34"/>
      <c r="J24" s="45"/>
      <c r="K24" s="36"/>
      <c r="L24" s="46"/>
      <c r="M24" s="34"/>
    </row>
    <row r="25" spans="1:15" s="53" customFormat="1" ht="12.75" customHeight="1" x14ac:dyDescent="0.25">
      <c r="A25" s="47" t="s">
        <v>175</v>
      </c>
      <c r="B25" s="47"/>
      <c r="C25" s="47"/>
      <c r="D25" s="48">
        <f>SUM(D9:D24)</f>
        <v>0.16655599999999998</v>
      </c>
      <c r="E25" s="49">
        <f>'Oct 20'!$D25*$C$6*$C$2</f>
        <v>28858251.901015885</v>
      </c>
      <c r="F25" s="50"/>
      <c r="G25" s="50"/>
      <c r="H25" s="47"/>
      <c r="I25" s="47"/>
      <c r="J25" s="51"/>
      <c r="K25" s="49">
        <f>SUM(K9:K24)</f>
        <v>28858889.189299732</v>
      </c>
      <c r="L25" s="52">
        <f>'Oct 20'!$K25/$K$2</f>
        <v>0.16077166889078456</v>
      </c>
      <c r="M25" s="47"/>
    </row>
    <row r="26" spans="1:15" s="44" customFormat="1" ht="12.75" customHeight="1" x14ac:dyDescent="0.25">
      <c r="A26" s="34"/>
      <c r="B26" s="34"/>
      <c r="C26" s="34"/>
      <c r="D26" s="35"/>
      <c r="E26" s="36"/>
      <c r="F26" s="36"/>
      <c r="G26" s="37"/>
      <c r="H26" s="34"/>
      <c r="I26" s="34"/>
      <c r="J26" s="45"/>
      <c r="K26" s="36"/>
      <c r="L26" s="40"/>
      <c r="M26" s="34"/>
    </row>
    <row r="27" spans="1:15" s="43" customFormat="1" ht="12.75" customHeight="1" x14ac:dyDescent="0.25">
      <c r="A27" s="54"/>
      <c r="B27" s="47" t="s">
        <v>34</v>
      </c>
      <c r="C27" s="54" t="s">
        <v>35</v>
      </c>
      <c r="D27" s="55">
        <v>1.9595000000000001E-2</v>
      </c>
      <c r="E27" s="56">
        <f>'Oct 20'!$D27*$C$6*$C$2</f>
        <v>3395119.0350417057</v>
      </c>
      <c r="F27" s="50">
        <v>18.130001207534999</v>
      </c>
      <c r="G27" s="57">
        <f>'Oct 20'!$E27/'Oct 20'!$F27</f>
        <v>187265.24042539293</v>
      </c>
      <c r="H27" s="54">
        <v>198752</v>
      </c>
      <c r="I27" s="54">
        <f>ROUND(Table1389584567991011121314456267891011121314151617181920213456789101112131415[[#This Row],[Target Quantity]],0)</f>
        <v>187265</v>
      </c>
      <c r="J27" s="58">
        <f>I27-H27</f>
        <v>-11487</v>
      </c>
      <c r="K27" s="59">
        <f>'Oct 20'!$F27*'Oct 20'!$I27</f>
        <v>3395114.6761290417</v>
      </c>
      <c r="L27" s="52">
        <f>'Oct 20'!$K27/$K$2</f>
        <v>1.8914042358887703E-2</v>
      </c>
      <c r="M27" s="47"/>
      <c r="O27" s="42"/>
    </row>
    <row r="28" spans="1:15" s="43" customFormat="1" ht="12.75" customHeight="1" x14ac:dyDescent="0.25">
      <c r="A28" s="34"/>
      <c r="B28" s="34"/>
      <c r="C28" s="34"/>
      <c r="D28" s="35"/>
      <c r="E28" s="36"/>
      <c r="F28" s="36"/>
      <c r="G28" s="37"/>
      <c r="H28" s="34"/>
      <c r="I28" s="34"/>
      <c r="J28" s="45"/>
      <c r="K28" s="39"/>
      <c r="L28" s="40"/>
      <c r="M28" s="34"/>
      <c r="O28" s="42"/>
    </row>
    <row r="29" spans="1:15" s="2" customFormat="1" ht="25.5" x14ac:dyDescent="0.2">
      <c r="A29" s="34" t="s">
        <v>176</v>
      </c>
      <c r="B29" s="60" t="s">
        <v>109</v>
      </c>
      <c r="C29" s="61" t="s">
        <v>110</v>
      </c>
      <c r="D29" s="35">
        <v>2.9392999999999999E-2</v>
      </c>
      <c r="E29" s="36">
        <f>'Oct 20'!$D29*$C$6*$C$2</f>
        <v>5092765.1848420948</v>
      </c>
      <c r="F29" s="36">
        <v>158505.55882352899</v>
      </c>
      <c r="G29" s="37">
        <f>'Oct 20'!$E29/'Oct 20'!$F29</f>
        <v>32.129883788568499</v>
      </c>
      <c r="H29" s="34">
        <v>34</v>
      </c>
      <c r="I29" s="34">
        <v>32</v>
      </c>
      <c r="J29" s="38">
        <f t="shared" ref="J29:J38" si="1">I29-H29</f>
        <v>-2</v>
      </c>
      <c r="K29" s="39">
        <f>'Oct 20'!$F29*'Oct 20'!$I29</f>
        <v>5072177.8823529277</v>
      </c>
      <c r="L29" s="40">
        <f>'Oct 20'!$K29/$K$2</f>
        <v>2.8256891584003241E-2</v>
      </c>
      <c r="M29" s="62"/>
    </row>
    <row r="30" spans="1:15" s="2" customFormat="1" ht="25.5" x14ac:dyDescent="0.2">
      <c r="A30" s="34" t="s">
        <v>176</v>
      </c>
      <c r="B30" s="60" t="s">
        <v>115</v>
      </c>
      <c r="C30" s="61" t="s">
        <v>116</v>
      </c>
      <c r="D30" s="35">
        <v>2.9392999999999999E-2</v>
      </c>
      <c r="E30" s="36">
        <f>'Oct 20'!$D30*$C$6*$C$2</f>
        <v>5092765.1848420948</v>
      </c>
      <c r="F30" s="36">
        <v>217385.96</v>
      </c>
      <c r="G30" s="37">
        <f>'Oct 20'!$E30/'Oct 20'!$F30</f>
        <v>23.427295786913263</v>
      </c>
      <c r="H30" s="34">
        <v>25</v>
      </c>
      <c r="I30" s="34">
        <v>23</v>
      </c>
      <c r="J30" s="38">
        <f t="shared" si="1"/>
        <v>-2</v>
      </c>
      <c r="K30" s="39">
        <f>'Oct 20'!$F30*'Oct 20'!$I30</f>
        <v>4999877.08</v>
      </c>
      <c r="L30" s="40">
        <f>'Oct 20'!$K30/$K$2</f>
        <v>2.7854106827452985E-2</v>
      </c>
      <c r="M30" s="62"/>
    </row>
    <row r="31" spans="1:15" s="2" customFormat="1" ht="25.5" x14ac:dyDescent="0.2">
      <c r="A31" s="34" t="s">
        <v>176</v>
      </c>
      <c r="B31" s="60" t="s">
        <v>121</v>
      </c>
      <c r="C31" s="61" t="s">
        <v>122</v>
      </c>
      <c r="D31" s="35">
        <v>2.9392999999999999E-2</v>
      </c>
      <c r="E31" s="36">
        <f>'Oct 20'!$D31*$C$6*$C$2</f>
        <v>5092765.1848420948</v>
      </c>
      <c r="F31" s="36">
        <v>174100.22580645201</v>
      </c>
      <c r="G31" s="37">
        <f>'Oct 20'!$E31/'Oct 20'!$F31</f>
        <v>29.251916022807141</v>
      </c>
      <c r="H31" s="34">
        <v>31</v>
      </c>
      <c r="I31" s="34">
        <v>29</v>
      </c>
      <c r="J31" s="38">
        <f t="shared" si="1"/>
        <v>-2</v>
      </c>
      <c r="K31" s="39">
        <f>'Oct 20'!$F31*'Oct 20'!$I31</f>
        <v>5048906.5483871084</v>
      </c>
      <c r="L31" s="40">
        <f>'Oct 20'!$K31/$K$2</f>
        <v>2.8127247952383951E-2</v>
      </c>
      <c r="M31" s="62"/>
    </row>
    <row r="32" spans="1:15" s="2" customFormat="1" ht="25.5" x14ac:dyDescent="0.2">
      <c r="A32" s="34" t="s">
        <v>176</v>
      </c>
      <c r="B32" s="60" t="s">
        <v>124</v>
      </c>
      <c r="C32" s="61" t="s">
        <v>125</v>
      </c>
      <c r="D32" s="35">
        <v>2.9392999999999999E-2</v>
      </c>
      <c r="E32" s="36">
        <f>'Oct 20'!$D32*$C$6*$C$2</f>
        <v>5092765.1848420948</v>
      </c>
      <c r="F32" s="36">
        <v>125729.581395349</v>
      </c>
      <c r="G32" s="37">
        <f>'Oct 20'!$E32/'Oct 20'!$F32</f>
        <v>40.505703815462532</v>
      </c>
      <c r="H32" s="34">
        <v>43</v>
      </c>
      <c r="I32" s="34">
        <v>41</v>
      </c>
      <c r="J32" s="38">
        <f t="shared" si="1"/>
        <v>-2</v>
      </c>
      <c r="K32" s="39">
        <f>'Oct 20'!$F32*'Oct 20'!$I32</f>
        <v>5154912.8372093085</v>
      </c>
      <c r="L32" s="40">
        <f>'Oct 20'!$K32/$K$2</f>
        <v>2.8717804569274898E-2</v>
      </c>
      <c r="M32" s="62"/>
    </row>
    <row r="33" spans="1:13" s="2" customFormat="1" ht="25.5" x14ac:dyDescent="0.2">
      <c r="A33" s="34" t="s">
        <v>176</v>
      </c>
      <c r="B33" s="60" t="s">
        <v>127</v>
      </c>
      <c r="C33" s="61" t="s">
        <v>128</v>
      </c>
      <c r="D33" s="35">
        <v>2.9392999999999999E-2</v>
      </c>
      <c r="E33" s="36">
        <f>'Oct 20'!$D33*$C$6*$C$2</f>
        <v>5092765.1848420948</v>
      </c>
      <c r="F33" s="36">
        <v>138802.384615385</v>
      </c>
      <c r="G33" s="37">
        <f>'Oct 20'!$E33/'Oct 20'!$F33</f>
        <v>36.690761466050546</v>
      </c>
      <c r="H33" s="34">
        <v>39</v>
      </c>
      <c r="I33" s="34">
        <v>37</v>
      </c>
      <c r="J33" s="38">
        <f t="shared" si="1"/>
        <v>-2</v>
      </c>
      <c r="K33" s="39">
        <f>'Oct 20'!$F33*'Oct 20'!$I33</f>
        <v>5135688.230769245</v>
      </c>
      <c r="L33" s="40">
        <f>'Oct 20'!$K33/$K$2</f>
        <v>2.8610705088041796E-2</v>
      </c>
      <c r="M33" s="62"/>
    </row>
    <row r="34" spans="1:13" s="2" customFormat="1" ht="25.5" x14ac:dyDescent="0.2">
      <c r="A34" s="34" t="s">
        <v>176</v>
      </c>
      <c r="B34" s="60" t="s">
        <v>135</v>
      </c>
      <c r="C34" s="61" t="s">
        <v>136</v>
      </c>
      <c r="D34" s="35">
        <v>2.9392999999999999E-2</v>
      </c>
      <c r="E34" s="36">
        <f>'Oct 20'!$D34*$C$6*$C$2</f>
        <v>5092765.1848420948</v>
      </c>
      <c r="F34" s="36">
        <v>220840.64</v>
      </c>
      <c r="G34" s="37">
        <f>'Oct 20'!$E34/'Oct 20'!$F34</f>
        <v>23.060815187105483</v>
      </c>
      <c r="H34" s="34">
        <v>25</v>
      </c>
      <c r="I34" s="34">
        <v>23</v>
      </c>
      <c r="J34" s="38">
        <f t="shared" si="1"/>
        <v>-2</v>
      </c>
      <c r="K34" s="39">
        <f>'Oct 20'!$F34*'Oct 20'!$I34</f>
        <v>5079334.7200000007</v>
      </c>
      <c r="L34" s="40">
        <f>'Oct 20'!$K34/$K$2</f>
        <v>2.8296762028251904E-2</v>
      </c>
      <c r="M34" s="62"/>
    </row>
    <row r="35" spans="1:13" s="43" customFormat="1" ht="25.5" customHeight="1" x14ac:dyDescent="0.25">
      <c r="A35" s="34" t="s">
        <v>177</v>
      </c>
      <c r="B35" s="34" t="s">
        <v>76</v>
      </c>
      <c r="C35" s="34" t="s">
        <v>77</v>
      </c>
      <c r="D35" s="35">
        <v>2.9392999999999999E-2</v>
      </c>
      <c r="E35" s="36">
        <f>'Oct 20'!$D35*$C$6*$C$2</f>
        <v>5092765.1848420948</v>
      </c>
      <c r="F35" s="36">
        <v>114986.744680851</v>
      </c>
      <c r="G35" s="37">
        <f>'Oct 20'!$E35/'Oct 20'!$F35</f>
        <v>44.29001967989624</v>
      </c>
      <c r="H35" s="34">
        <v>47</v>
      </c>
      <c r="I35" s="34">
        <v>44</v>
      </c>
      <c r="J35" s="38">
        <f t="shared" si="1"/>
        <v>-3</v>
      </c>
      <c r="K35" s="39">
        <f>'Oct 20'!$F35*'Oct 20'!$I35</f>
        <v>5059416.765957444</v>
      </c>
      <c r="L35" s="40">
        <f>'Oct 20'!$K35/$K$2</f>
        <v>2.8185799936422704E-2</v>
      </c>
      <c r="M35" s="41"/>
    </row>
    <row r="36" spans="1:13" s="43" customFormat="1" ht="25.5" x14ac:dyDescent="0.25">
      <c r="A36" s="34" t="s">
        <v>177</v>
      </c>
      <c r="B36" s="34" t="s">
        <v>71</v>
      </c>
      <c r="C36" s="34" t="s">
        <v>72</v>
      </c>
      <c r="D36" s="35">
        <v>2.9392999999999999E-2</v>
      </c>
      <c r="E36" s="36">
        <f>'Oct 20'!$D36*$C$6*$C$2</f>
        <v>5092765.1848420948</v>
      </c>
      <c r="F36" s="36">
        <v>133769.07317073201</v>
      </c>
      <c r="G36" s="37">
        <f>'Oct 20'!$E36/'Oct 20'!$F36</f>
        <v>38.071319955563283</v>
      </c>
      <c r="H36" s="34">
        <v>41</v>
      </c>
      <c r="I36" s="34">
        <v>38</v>
      </c>
      <c r="J36" s="38">
        <f t="shared" si="1"/>
        <v>-3</v>
      </c>
      <c r="K36" s="39">
        <f>'Oct 20'!$F36*'Oct 20'!$I36</f>
        <v>5083224.7804878168</v>
      </c>
      <c r="L36" s="40">
        <f>'Oct 20'!$K36/$K$2</f>
        <v>2.8318433393099314E-2</v>
      </c>
      <c r="M36" s="41"/>
    </row>
    <row r="37" spans="1:13" s="43" customFormat="1" ht="25.5" x14ac:dyDescent="0.25">
      <c r="A37" s="34" t="s">
        <v>177</v>
      </c>
      <c r="B37" s="34" t="s">
        <v>67</v>
      </c>
      <c r="C37" s="34" t="s">
        <v>68</v>
      </c>
      <c r="D37" s="35">
        <v>2.9392999999999999E-2</v>
      </c>
      <c r="E37" s="36">
        <f>'Oct 20'!$D37*$C$6*$C$2</f>
        <v>5092765.1848420948</v>
      </c>
      <c r="F37" s="36">
        <v>175997.129032258</v>
      </c>
      <c r="G37" s="37">
        <f>'Oct 20'!$E37/'Oct 20'!$F37</f>
        <v>28.936637846567695</v>
      </c>
      <c r="H37" s="34">
        <v>31</v>
      </c>
      <c r="I37" s="34">
        <v>29</v>
      </c>
      <c r="J37" s="38">
        <f t="shared" si="1"/>
        <v>-2</v>
      </c>
      <c r="K37" s="39">
        <f>'Oct 20'!$F37*'Oct 20'!$I37</f>
        <v>5103916.7419354822</v>
      </c>
      <c r="L37" s="40">
        <f>'Oct 20'!$K37/$K$2</f>
        <v>2.8433707447923243E-2</v>
      </c>
      <c r="M37" s="41"/>
    </row>
    <row r="38" spans="1:13" s="43" customFormat="1" ht="25.5" x14ac:dyDescent="0.25">
      <c r="A38" s="34" t="s">
        <v>177</v>
      </c>
      <c r="B38" s="34" t="s">
        <v>80</v>
      </c>
      <c r="C38" s="34" t="s">
        <v>81</v>
      </c>
      <c r="D38" s="35">
        <v>2.9392999999999999E-2</v>
      </c>
      <c r="E38" s="36">
        <f>'Oct 20'!$D38*$C$6*$C$2</f>
        <v>5092765.1848420948</v>
      </c>
      <c r="F38" s="36">
        <v>268608.15000000002</v>
      </c>
      <c r="G38" s="37">
        <f>'Oct 20'!$E38/'Oct 20'!$F38</f>
        <v>18.959831207065363</v>
      </c>
      <c r="H38" s="34">
        <v>20</v>
      </c>
      <c r="I38" s="34">
        <v>19</v>
      </c>
      <c r="J38" s="38">
        <f t="shared" si="1"/>
        <v>-1</v>
      </c>
      <c r="K38" s="39">
        <f>'Oct 20'!$F38*'Oct 20'!$I38</f>
        <v>5103554.8500000006</v>
      </c>
      <c r="L38" s="40">
        <f>'Oct 20'!$K38/$K$2</f>
        <v>2.8431691363033629E-2</v>
      </c>
      <c r="M38" s="41"/>
    </row>
    <row r="39" spans="1:13" s="64" customFormat="1" ht="12.75" x14ac:dyDescent="0.2">
      <c r="A39" s="34"/>
      <c r="B39" s="61"/>
      <c r="C39" s="61"/>
      <c r="D39" s="35"/>
      <c r="E39" s="63"/>
      <c r="F39" s="36"/>
      <c r="G39" s="37"/>
      <c r="H39" s="34"/>
      <c r="I39" s="34"/>
      <c r="J39" s="45"/>
      <c r="K39" s="36"/>
      <c r="L39" s="46"/>
      <c r="M39" s="62"/>
    </row>
    <row r="40" spans="1:13" s="15" customFormat="1" ht="12.75" x14ac:dyDescent="0.2">
      <c r="A40" s="47" t="s">
        <v>182</v>
      </c>
      <c r="B40" s="65"/>
      <c r="C40" s="65"/>
      <c r="D40" s="55">
        <f>SUBTOTAL(9,D29:D39)</f>
        <v>0.29392999999999997</v>
      </c>
      <c r="E40" s="66">
        <f>'Oct 20'!$D40*$C$6*$C$2</f>
        <v>50927651.84842094</v>
      </c>
      <c r="F40" s="67"/>
      <c r="G40" s="68"/>
      <c r="H40" s="54"/>
      <c r="I40" s="54"/>
      <c r="J40" s="58"/>
      <c r="K40" s="66">
        <f>SUM(K29:K39)</f>
        <v>50841010.437099338</v>
      </c>
      <c r="L40" s="69">
        <f>'Oct 20'!$K40/$K$2</f>
        <v>0.28323315018988771</v>
      </c>
      <c r="M40" s="70"/>
    </row>
    <row r="41" spans="1:13" s="64" customFormat="1" ht="12.75" x14ac:dyDescent="0.2">
      <c r="A41" s="34"/>
      <c r="B41" s="61"/>
      <c r="C41" s="61"/>
      <c r="D41" s="35"/>
      <c r="E41" s="63"/>
      <c r="F41" s="36"/>
      <c r="G41" s="37"/>
      <c r="H41" s="34"/>
      <c r="I41" s="34"/>
      <c r="J41" s="45"/>
      <c r="K41" s="36"/>
      <c r="L41" s="40"/>
      <c r="M41" s="62"/>
    </row>
    <row r="42" spans="1:13" s="2" customFormat="1" ht="24.75" customHeight="1" x14ac:dyDescent="0.2">
      <c r="A42" s="34" t="s">
        <v>176</v>
      </c>
      <c r="B42" s="61" t="s">
        <v>183</v>
      </c>
      <c r="C42" s="61" t="s">
        <v>131</v>
      </c>
      <c r="D42" s="35">
        <v>7.1429000000000006E-2</v>
      </c>
      <c r="E42" s="36">
        <f>'Oct 20'!$D42*$C$6*$C$2</f>
        <v>12376114.190048175</v>
      </c>
      <c r="F42" s="36">
        <v>416332.03125</v>
      </c>
      <c r="G42" s="37">
        <f>'Oct 20'!$E42/'Oct 20'!$F42</f>
        <v>29.726548190130817</v>
      </c>
      <c r="H42" s="34">
        <v>32</v>
      </c>
      <c r="I42" s="34">
        <v>32</v>
      </c>
      <c r="J42" s="38">
        <f t="shared" ref="J42:J48" si="2">I42-H42</f>
        <v>0</v>
      </c>
      <c r="K42" s="39">
        <f>'Oct 20'!$F42*'Oct 20'!$I42</f>
        <v>13322625</v>
      </c>
      <c r="L42" s="40">
        <f>'Oct 20'!$K42/$K$2</f>
        <v>7.4219788613702445E-2</v>
      </c>
      <c r="M42" s="62"/>
    </row>
    <row r="43" spans="1:13" s="43" customFormat="1" ht="25.5" x14ac:dyDescent="0.25">
      <c r="A43" s="34" t="s">
        <v>177</v>
      </c>
      <c r="B43" s="34" t="s">
        <v>82</v>
      </c>
      <c r="C43" s="34" t="s">
        <v>83</v>
      </c>
      <c r="D43" s="35">
        <v>7.1429000000000006E-2</v>
      </c>
      <c r="E43" s="36">
        <f>'Oct 20'!$D43*$C$6*$C$2</f>
        <v>12376114.190048175</v>
      </c>
      <c r="F43" s="36">
        <v>249406.245283019</v>
      </c>
      <c r="G43" s="37">
        <f>'Oct 20'!$E43/'Oct 20'!$F43</f>
        <v>49.62231068433799</v>
      </c>
      <c r="H43" s="34">
        <v>53</v>
      </c>
      <c r="I43" s="34">
        <v>53</v>
      </c>
      <c r="J43" s="38">
        <f t="shared" si="2"/>
        <v>0</v>
      </c>
      <c r="K43" s="39">
        <f>'Oct 20'!$F43*'Oct 20'!$I43</f>
        <v>13218531.000000007</v>
      </c>
      <c r="L43" s="40">
        <f>'Oct 20'!$K43/$K$2</f>
        <v>7.36398852781395E-2</v>
      </c>
      <c r="M43" s="41"/>
    </row>
    <row r="44" spans="1:13" s="43" customFormat="1" ht="25.5" x14ac:dyDescent="0.25">
      <c r="A44" s="34" t="s">
        <v>177</v>
      </c>
      <c r="B44" s="34" t="s">
        <v>184</v>
      </c>
      <c r="C44" s="34" t="s">
        <v>105</v>
      </c>
      <c r="D44" s="35">
        <v>7.1429000000000006E-2</v>
      </c>
      <c r="E44" s="36">
        <f>'Oct 20'!$D44*$C$6*$C$2</f>
        <v>12376114.190048175</v>
      </c>
      <c r="F44" s="36">
        <v>416329.5</v>
      </c>
      <c r="G44" s="37">
        <f>'Oct 20'!$E44/'Oct 20'!$F44</f>
        <v>29.726728925161861</v>
      </c>
      <c r="H44" s="34">
        <v>32</v>
      </c>
      <c r="I44" s="34">
        <v>32</v>
      </c>
      <c r="J44" s="38">
        <f t="shared" si="2"/>
        <v>0</v>
      </c>
      <c r="K44" s="39">
        <f>'Oct 20'!$F44*'Oct 20'!$I44</f>
        <v>13322544</v>
      </c>
      <c r="L44" s="40">
        <f>'Oct 20'!$K44/$K$2</f>
        <v>7.4219337366078372E-2</v>
      </c>
      <c r="M44" s="41"/>
    </row>
    <row r="45" spans="1:13" s="43" customFormat="1" ht="25.5" x14ac:dyDescent="0.25">
      <c r="A45" s="34" t="s">
        <v>177</v>
      </c>
      <c r="B45" s="34" t="s">
        <v>107</v>
      </c>
      <c r="C45" s="34" t="s">
        <v>108</v>
      </c>
      <c r="D45" s="35">
        <v>7.1429000000000006E-2</v>
      </c>
      <c r="E45" s="36">
        <f>'Oct 20'!$D45*$C$6*$C$2</f>
        <v>12376114.190048175</v>
      </c>
      <c r="F45" s="36">
        <v>249798.754716981</v>
      </c>
      <c r="G45" s="37">
        <f>'Oct 20'!$E45/'Oct 20'!$F45</f>
        <v>49.54433901830361</v>
      </c>
      <c r="H45" s="34">
        <v>53</v>
      </c>
      <c r="I45" s="34">
        <v>53</v>
      </c>
      <c r="J45" s="38">
        <f t="shared" si="2"/>
        <v>0</v>
      </c>
      <c r="K45" s="39">
        <f>'Oct 20'!$F45*'Oct 20'!$I45</f>
        <v>13239333.999999993</v>
      </c>
      <c r="L45" s="40">
        <f>'Oct 20'!$K45/$K$2</f>
        <v>7.3755777924110533E-2</v>
      </c>
      <c r="M45" s="41"/>
    </row>
    <row r="46" spans="1:13" s="43" customFormat="1" ht="25.5" x14ac:dyDescent="0.25">
      <c r="A46" s="34" t="s">
        <v>177</v>
      </c>
      <c r="B46" s="34" t="s">
        <v>85</v>
      </c>
      <c r="C46" s="34" t="s">
        <v>86</v>
      </c>
      <c r="D46" s="35">
        <v>7.1429000000000006E-2</v>
      </c>
      <c r="E46" s="36">
        <f>'Oct 20'!$D46*$C$6*$C$2</f>
        <v>12376114.190048175</v>
      </c>
      <c r="F46" s="36">
        <v>161434.60975609801</v>
      </c>
      <c r="G46" s="37">
        <f>'Oct 20'!$E46/'Oct 20'!$F46</f>
        <v>76.663326462315069</v>
      </c>
      <c r="H46" s="34">
        <v>82</v>
      </c>
      <c r="I46" s="34">
        <v>82</v>
      </c>
      <c r="J46" s="38">
        <f t="shared" si="2"/>
        <v>0</v>
      </c>
      <c r="K46" s="39">
        <f>'Oct 20'!$F46*'Oct 20'!$I46</f>
        <v>13237638.000000037</v>
      </c>
      <c r="L46" s="40">
        <f>'Oct 20'!$K46/$K$2</f>
        <v>7.3746329578796788E-2</v>
      </c>
      <c r="M46" s="41"/>
    </row>
    <row r="47" spans="1:13" s="43" customFormat="1" ht="25.5" x14ac:dyDescent="0.25">
      <c r="A47" s="34" t="s">
        <v>177</v>
      </c>
      <c r="B47" s="34" t="s">
        <v>186</v>
      </c>
      <c r="C47" s="34" t="s">
        <v>187</v>
      </c>
      <c r="D47" s="35">
        <v>7.1429000000000006E-2</v>
      </c>
      <c r="E47" s="36">
        <f>'Oct 20'!$D47*$C$6*$C$2</f>
        <v>12376114.190048175</v>
      </c>
      <c r="F47" s="36">
        <v>173197.973684211</v>
      </c>
      <c r="G47" s="37">
        <f>'Oct 20'!$E47/'Oct 20'!$F47</f>
        <v>71.456460643202092</v>
      </c>
      <c r="H47" s="34">
        <v>76</v>
      </c>
      <c r="I47" s="34">
        <v>76</v>
      </c>
      <c r="J47" s="38">
        <f t="shared" si="2"/>
        <v>0</v>
      </c>
      <c r="K47" s="39">
        <f>'Oct 20'!$F47*'Oct 20'!$I47</f>
        <v>13163046.000000035</v>
      </c>
      <c r="L47" s="40">
        <f>'Oct 20'!$K47/$K$2</f>
        <v>7.3330780655647382E-2</v>
      </c>
      <c r="M47" s="41"/>
    </row>
    <row r="48" spans="1:13" s="43" customFormat="1" ht="25.5" x14ac:dyDescent="0.25">
      <c r="A48" s="34" t="s">
        <v>177</v>
      </c>
      <c r="B48" s="34" t="s">
        <v>188</v>
      </c>
      <c r="C48" s="34" t="s">
        <v>189</v>
      </c>
      <c r="D48" s="35">
        <v>7.1429000000000006E-2</v>
      </c>
      <c r="E48" s="36">
        <f>'Oct 20'!$D48*$C$6*$C$2</f>
        <v>12376114.190048175</v>
      </c>
      <c r="F48" s="36">
        <v>703171.78947368404</v>
      </c>
      <c r="G48" s="37">
        <f>'Oct 20'!$E48/'Oct 20'!$F48</f>
        <v>17.600413405821577</v>
      </c>
      <c r="H48" s="34">
        <v>19</v>
      </c>
      <c r="I48" s="34">
        <v>19</v>
      </c>
      <c r="J48" s="38">
        <f t="shared" si="2"/>
        <v>0</v>
      </c>
      <c r="K48" s="39">
        <f>'Oct 20'!$F48*'Oct 20'!$I48</f>
        <v>13360263.999999996</v>
      </c>
      <c r="L48" s="40">
        <f>'Oct 20'!$K48/$K$2</f>
        <v>7.4429473913981539E-2</v>
      </c>
      <c r="M48" s="41"/>
    </row>
    <row r="49" spans="1:16" s="44" customFormat="1" ht="12.75" x14ac:dyDescent="0.25">
      <c r="A49" s="34"/>
      <c r="B49" s="34"/>
      <c r="C49" s="34"/>
      <c r="D49" s="35"/>
      <c r="E49" s="36"/>
      <c r="F49" s="36"/>
      <c r="G49" s="37"/>
      <c r="H49" s="34"/>
      <c r="I49" s="34"/>
      <c r="J49" s="45"/>
      <c r="K49" s="36"/>
      <c r="L49" s="40"/>
      <c r="M49" s="34"/>
    </row>
    <row r="50" spans="1:16" s="53" customFormat="1" ht="25.5" x14ac:dyDescent="0.25">
      <c r="A50" s="47" t="s">
        <v>190</v>
      </c>
      <c r="B50" s="47"/>
      <c r="C50" s="47"/>
      <c r="D50" s="55">
        <f>SUBTOTAL(9,D42:D49)</f>
        <v>0.50000300000000009</v>
      </c>
      <c r="E50" s="49">
        <f>'Oct 20'!$D50*$C$6*$C$2</f>
        <v>86632799.330337241</v>
      </c>
      <c r="F50" s="68"/>
      <c r="G50" s="68"/>
      <c r="H50" s="54"/>
      <c r="I50" s="54"/>
      <c r="J50" s="58"/>
      <c r="K50" s="49">
        <f>SUM(K42:K49)</f>
        <v>92863982.000000075</v>
      </c>
      <c r="L50" s="71">
        <f>'Oct 20'!$K50/$K$2</f>
        <v>0.5173413733304566</v>
      </c>
      <c r="M50" s="47"/>
    </row>
    <row r="51" spans="1:16" s="44" customFormat="1" ht="12.75" x14ac:dyDescent="0.25">
      <c r="A51" s="34"/>
      <c r="B51" s="34"/>
      <c r="C51" s="34"/>
      <c r="D51" s="35"/>
      <c r="E51" s="36"/>
      <c r="F51" s="36"/>
      <c r="G51" s="37"/>
      <c r="H51" s="34"/>
      <c r="I51" s="34"/>
      <c r="J51" s="45"/>
      <c r="K51" s="36"/>
      <c r="L51" s="40"/>
      <c r="M51" s="34"/>
    </row>
    <row r="52" spans="1:16" s="43" customFormat="1" ht="12.75" x14ac:dyDescent="0.25">
      <c r="A52" s="34"/>
      <c r="B52" s="34"/>
      <c r="C52" s="34"/>
      <c r="D52" s="35"/>
      <c r="E52" s="36"/>
      <c r="F52" s="36"/>
      <c r="G52" s="72"/>
      <c r="H52" s="34"/>
      <c r="I52" s="34"/>
      <c r="J52" s="38"/>
      <c r="K52" s="39"/>
      <c r="L52" s="40"/>
      <c r="M52" s="41"/>
    </row>
    <row r="53" spans="1:16" s="43" customFormat="1" ht="25.5" x14ac:dyDescent="0.25">
      <c r="A53" s="34" t="s">
        <v>191</v>
      </c>
      <c r="B53" s="34" t="s">
        <v>63</v>
      </c>
      <c r="C53" s="34" t="s">
        <v>64</v>
      </c>
      <c r="D53" s="35">
        <v>9.7799999999999992E-4</v>
      </c>
      <c r="E53" s="36">
        <f>'Oct 20'!$D53*$C$6*$C$2</f>
        <v>169452.73877370695</v>
      </c>
      <c r="F53" s="36">
        <v>45869.25</v>
      </c>
      <c r="G53" s="72">
        <f>'Oct 20'!$E53/'Oct 20'!$F53</f>
        <v>3.6942557110418623</v>
      </c>
      <c r="H53" s="34">
        <v>4</v>
      </c>
      <c r="I53" s="34">
        <v>4</v>
      </c>
      <c r="J53" s="38">
        <f t="shared" ref="J53:J62" si="3">I53-H53</f>
        <v>0</v>
      </c>
      <c r="K53" s="39">
        <f>'Oct 20'!$F53*'Oct 20'!$I53</f>
        <v>183477</v>
      </c>
      <c r="L53" s="40">
        <f>'Oct 20'!$K53/$K$2</f>
        <v>1.0221427200327476E-3</v>
      </c>
      <c r="M53" s="41"/>
    </row>
    <row r="54" spans="1:16" s="43" customFormat="1" ht="25.5" x14ac:dyDescent="0.25">
      <c r="A54" s="34" t="s">
        <v>191</v>
      </c>
      <c r="B54" s="34" t="s">
        <v>73</v>
      </c>
      <c r="C54" s="34" t="s">
        <v>74</v>
      </c>
      <c r="D54" s="35">
        <v>9.7799999999999992E-4</v>
      </c>
      <c r="E54" s="36">
        <f>'Oct 20'!$D54*$C$6*$C$2</f>
        <v>169452.73877370695</v>
      </c>
      <c r="F54" s="36">
        <v>169699</v>
      </c>
      <c r="G54" s="72">
        <f>'Oct 20'!$E54/'Oct 20'!$F54</f>
        <v>0.9985488351357813</v>
      </c>
      <c r="H54" s="34">
        <v>1</v>
      </c>
      <c r="I54" s="34">
        <v>1</v>
      </c>
      <c r="J54" s="38">
        <f t="shared" si="3"/>
        <v>0</v>
      </c>
      <c r="K54" s="39">
        <f>'Oct 20'!$F54*'Oct 20'!$I54</f>
        <v>169699</v>
      </c>
      <c r="L54" s="40">
        <f>'Oct 20'!$K54/$K$2</f>
        <v>9.4538605627319627E-4</v>
      </c>
      <c r="M54" s="41"/>
      <c r="P54" s="43" t="s">
        <v>194</v>
      </c>
    </row>
    <row r="55" spans="1:16" s="43" customFormat="1" ht="25.5" x14ac:dyDescent="0.25">
      <c r="A55" s="34" t="s">
        <v>191</v>
      </c>
      <c r="B55" s="34" t="s">
        <v>92</v>
      </c>
      <c r="C55" s="34" t="s">
        <v>93</v>
      </c>
      <c r="D55" s="35">
        <v>9.7799999999999992E-4</v>
      </c>
      <c r="E55" s="36">
        <f>'Oct 20'!$D55*$C$6*$C$2</f>
        <v>169452.73877370695</v>
      </c>
      <c r="F55" s="36">
        <v>94632</v>
      </c>
      <c r="G55" s="72">
        <f>'Oct 20'!$E55/'Oct 20'!$F55</f>
        <v>1.790649450225156</v>
      </c>
      <c r="H55" s="34">
        <v>2</v>
      </c>
      <c r="I55" s="34">
        <v>2</v>
      </c>
      <c r="J55" s="38">
        <f t="shared" si="3"/>
        <v>0</v>
      </c>
      <c r="K55" s="39">
        <f>'Oct 20'!$F55*'Oct 20'!$I55</f>
        <v>189264</v>
      </c>
      <c r="L55" s="40">
        <f>'Oct 20'!$K55/$K$2</f>
        <v>1.0543818558417563E-3</v>
      </c>
      <c r="M55" s="41"/>
    </row>
    <row r="56" spans="1:16" s="43" customFormat="1" ht="25.5" x14ac:dyDescent="0.25">
      <c r="A56" s="34" t="s">
        <v>191</v>
      </c>
      <c r="B56" s="34" t="s">
        <v>94</v>
      </c>
      <c r="C56" s="34" t="s">
        <v>95</v>
      </c>
      <c r="D56" s="35">
        <v>9.7799999999999992E-4</v>
      </c>
      <c r="E56" s="36">
        <f>'Oct 20'!$D56*$C$6*$C$2</f>
        <v>169452.73877370695</v>
      </c>
      <c r="F56" s="36">
        <v>235800</v>
      </c>
      <c r="G56" s="72">
        <f>'Oct 20'!$E56/'Oct 20'!$F56</f>
        <v>0.71862908725066565</v>
      </c>
      <c r="H56" s="34">
        <v>1</v>
      </c>
      <c r="I56" s="34">
        <v>1</v>
      </c>
      <c r="J56" s="38">
        <f t="shared" si="3"/>
        <v>0</v>
      </c>
      <c r="K56" s="39">
        <f>'Oct 20'!$F56*'Oct 20'!$I56</f>
        <v>235800</v>
      </c>
      <c r="L56" s="40">
        <f>'Oct 20'!$K56/$K$2</f>
        <v>1.3136319723110901E-3</v>
      </c>
      <c r="M56" s="41"/>
    </row>
    <row r="57" spans="1:16" s="43" customFormat="1" ht="25.5" x14ac:dyDescent="0.25">
      <c r="A57" s="34" t="s">
        <v>191</v>
      </c>
      <c r="B57" s="34" t="s">
        <v>200</v>
      </c>
      <c r="C57" s="34" t="s">
        <v>99</v>
      </c>
      <c r="D57" s="35">
        <v>9.7799999999999992E-4</v>
      </c>
      <c r="E57" s="36">
        <f>'Oct 20'!$D57*$C$6*$C$2</f>
        <v>169452.73877370695</v>
      </c>
      <c r="F57" s="36">
        <v>12079.8666666667</v>
      </c>
      <c r="G57" s="72">
        <f>'Oct 20'!$E57/'Oct 20'!$F57</f>
        <v>14.027699431591946</v>
      </c>
      <c r="H57" s="34">
        <v>15</v>
      </c>
      <c r="I57" s="34">
        <v>14</v>
      </c>
      <c r="J57" s="38">
        <f t="shared" si="3"/>
        <v>-1</v>
      </c>
      <c r="K57" s="39">
        <f>'Oct 20'!$F57*'Oct 20'!$I57</f>
        <v>169118.1333333338</v>
      </c>
      <c r="L57" s="40">
        <f>'Oct 20'!$K57/$K$2</f>
        <v>9.4215007228260037E-4</v>
      </c>
      <c r="M57" s="41"/>
    </row>
    <row r="58" spans="1:16" s="43" customFormat="1" ht="25.5" x14ac:dyDescent="0.25">
      <c r="A58" s="34" t="s">
        <v>191</v>
      </c>
      <c r="B58" s="34" t="s">
        <v>101</v>
      </c>
      <c r="C58" s="34" t="s">
        <v>102</v>
      </c>
      <c r="D58" s="35">
        <v>9.7799999999999992E-4</v>
      </c>
      <c r="E58" s="36">
        <f>'Oct 20'!$D58*$C$6*$C$2</f>
        <v>169452.73877370695</v>
      </c>
      <c r="F58" s="36">
        <v>92908</v>
      </c>
      <c r="G58" s="72">
        <f>'Oct 20'!$E58/'Oct 20'!$F58</f>
        <v>1.8238767250797234</v>
      </c>
      <c r="H58" s="34">
        <v>2</v>
      </c>
      <c r="I58" s="34">
        <v>2</v>
      </c>
      <c r="J58" s="38">
        <f t="shared" si="3"/>
        <v>0</v>
      </c>
      <c r="K58" s="39">
        <f>'Oct 20'!$F58*'Oct 20'!$I58</f>
        <v>185816</v>
      </c>
      <c r="L58" s="40">
        <f>'Oct 20'!$K58/$K$2</f>
        <v>1.0351731915477418E-3</v>
      </c>
      <c r="M58" s="41"/>
    </row>
    <row r="59" spans="1:16" s="2" customFormat="1" ht="25.5" x14ac:dyDescent="0.2">
      <c r="A59" s="34" t="s">
        <v>191</v>
      </c>
      <c r="B59" s="61" t="s">
        <v>132</v>
      </c>
      <c r="C59" s="61" t="s">
        <v>133</v>
      </c>
      <c r="D59" s="35">
        <v>9.7799999999999992E-4</v>
      </c>
      <c r="E59" s="36">
        <f>'Oct 20'!$D59*$C$6*$C$2</f>
        <v>169452.73877370695</v>
      </c>
      <c r="F59" s="36">
        <v>62294.666666666701</v>
      </c>
      <c r="G59" s="72">
        <f>'Oct 20'!$E59/'Oct 20'!$F59</f>
        <v>2.7201805201147264</v>
      </c>
      <c r="H59" s="34">
        <v>3</v>
      </c>
      <c r="I59" s="34">
        <v>3</v>
      </c>
      <c r="J59" s="38">
        <f t="shared" si="3"/>
        <v>0</v>
      </c>
      <c r="K59" s="39">
        <f>'Oct 20'!$F59*'Oct 20'!$I59</f>
        <v>186884.00000000012</v>
      </c>
      <c r="L59" s="40">
        <f>'Oct 20'!$K59/$K$2</f>
        <v>1.0411229750355636E-3</v>
      </c>
      <c r="M59" s="62"/>
    </row>
    <row r="60" spans="1:16" s="43" customFormat="1" ht="25.5" x14ac:dyDescent="0.25">
      <c r="A60" s="34" t="s">
        <v>191</v>
      </c>
      <c r="B60" s="34" t="s">
        <v>89</v>
      </c>
      <c r="C60" s="34" t="s">
        <v>90</v>
      </c>
      <c r="D60" s="35">
        <v>9.7799999999999992E-4</v>
      </c>
      <c r="E60" s="36">
        <f>'Oct 20'!$D60*$C$6*$C$2</f>
        <v>169452.73877370695</v>
      </c>
      <c r="F60" s="36">
        <v>32950</v>
      </c>
      <c r="G60" s="72">
        <f>'Oct 20'!$E60/'Oct 20'!$F60</f>
        <v>5.1427234832687994</v>
      </c>
      <c r="H60" s="34">
        <v>5</v>
      </c>
      <c r="I60" s="34">
        <v>5</v>
      </c>
      <c r="J60" s="38">
        <f t="shared" si="3"/>
        <v>0</v>
      </c>
      <c r="K60" s="39">
        <f>'Oct 20'!$F60*'Oct 20'!$I60</f>
        <v>164750</v>
      </c>
      <c r="L60" s="40">
        <f>'Oct 20'!$K60/$K$2</f>
        <v>9.1781538353796473E-4</v>
      </c>
      <c r="M60" s="41"/>
    </row>
    <row r="61" spans="1:16" s="43" customFormat="1" ht="25.5" x14ac:dyDescent="0.25">
      <c r="A61" s="34" t="s">
        <v>191</v>
      </c>
      <c r="B61" s="34" t="s">
        <v>113</v>
      </c>
      <c r="C61" s="34" t="s">
        <v>114</v>
      </c>
      <c r="D61" s="35">
        <v>9.7799999999999992E-4</v>
      </c>
      <c r="E61" s="36">
        <f>'Oct 20'!$D61*$C$6*$C$2</f>
        <v>169452.73877370695</v>
      </c>
      <c r="F61" s="36">
        <v>7888.0416666666697</v>
      </c>
      <c r="G61" s="72">
        <f>'Oct 20'!$E61/'Oct 20'!$F61</f>
        <v>21.482231703945136</v>
      </c>
      <c r="H61" s="34">
        <v>24</v>
      </c>
      <c r="I61" s="34">
        <v>21</v>
      </c>
      <c r="J61" s="38">
        <f t="shared" si="3"/>
        <v>-3</v>
      </c>
      <c r="K61" s="39">
        <f>'Oct 20'!$F61*'Oct 20'!$I61</f>
        <v>165648.87500000006</v>
      </c>
      <c r="L61" s="40">
        <f>'Oct 20'!$K61/$K$2</f>
        <v>9.2282297869958991E-4</v>
      </c>
      <c r="M61" s="41"/>
    </row>
    <row r="62" spans="1:16" s="43" customFormat="1" ht="25.5" x14ac:dyDescent="0.25">
      <c r="A62" s="34" t="s">
        <v>191</v>
      </c>
      <c r="B62" s="34" t="s">
        <v>96</v>
      </c>
      <c r="C62" s="34" t="s">
        <v>97</v>
      </c>
      <c r="D62" s="35">
        <v>9.7799999999999992E-4</v>
      </c>
      <c r="E62" s="36">
        <f>'Oct 20'!$D62*$C$6*$C$2</f>
        <v>169452.73877370695</v>
      </c>
      <c r="F62" s="36">
        <v>47993.333333333299</v>
      </c>
      <c r="G62" s="72">
        <f>'Oct 20'!$E62/'Oct 20'!$F62</f>
        <v>3.5307557738652675</v>
      </c>
      <c r="H62" s="34">
        <v>3</v>
      </c>
      <c r="I62" s="34">
        <v>3</v>
      </c>
      <c r="J62" s="38">
        <f t="shared" si="3"/>
        <v>0</v>
      </c>
      <c r="K62" s="39">
        <f>'Oct 20'!$F62*'Oct 20'!$I62</f>
        <v>143979.99999999988</v>
      </c>
      <c r="L62" s="40">
        <f>'Oct 20'!$K62/$K$2</f>
        <v>8.0210657919147833E-4</v>
      </c>
      <c r="M62" s="41"/>
    </row>
    <row r="63" spans="1:16" s="43" customFormat="1" ht="12.75" x14ac:dyDescent="0.25">
      <c r="A63" s="34"/>
      <c r="B63" s="34"/>
      <c r="C63" s="34"/>
      <c r="D63" s="35"/>
      <c r="E63" s="36"/>
      <c r="F63" s="36"/>
      <c r="G63" s="37"/>
      <c r="H63" s="34"/>
      <c r="I63" s="34"/>
      <c r="J63" s="41"/>
      <c r="K63" s="39"/>
      <c r="L63" s="40"/>
      <c r="M63" s="41"/>
    </row>
    <row r="64" spans="1:16" s="43" customFormat="1" ht="12.75" x14ac:dyDescent="0.25">
      <c r="A64" s="34"/>
      <c r="B64" s="34"/>
      <c r="C64" s="34"/>
      <c r="D64" s="35"/>
      <c r="E64" s="36"/>
      <c r="F64" s="36"/>
      <c r="G64" s="37"/>
      <c r="H64" s="34"/>
      <c r="I64" s="34"/>
      <c r="J64" s="41"/>
      <c r="K64" s="39"/>
      <c r="L64" s="40"/>
      <c r="M64" s="41"/>
    </row>
    <row r="65" spans="1:13" s="43" customFormat="1" ht="12.75" x14ac:dyDescent="0.25">
      <c r="A65" s="34"/>
      <c r="B65" s="34"/>
      <c r="C65" s="34"/>
      <c r="D65" s="35"/>
      <c r="E65" s="36"/>
      <c r="F65" s="36"/>
      <c r="G65" s="37"/>
      <c r="H65" s="34"/>
      <c r="I65" s="34"/>
      <c r="J65" s="41"/>
      <c r="K65" s="39"/>
      <c r="L65" s="40"/>
      <c r="M65" s="41"/>
    </row>
    <row r="66" spans="1:13" s="15" customFormat="1" ht="12.75" x14ac:dyDescent="0.2">
      <c r="A66" s="47" t="s">
        <v>205</v>
      </c>
      <c r="B66" s="65"/>
      <c r="C66" s="65"/>
      <c r="D66" s="88">
        <f>SUM(D53:D65)</f>
        <v>9.7799999999999988E-3</v>
      </c>
      <c r="E66" s="49">
        <f>SUM(E52:E65)</f>
        <v>1694527.3877370693</v>
      </c>
      <c r="F66" s="68"/>
      <c r="G66" s="68"/>
      <c r="H66" s="65"/>
      <c r="I66" s="65"/>
      <c r="J66" s="47"/>
      <c r="K66" s="49">
        <f>SUM(K52:K65)</f>
        <v>1794437.0083333338</v>
      </c>
      <c r="L66" s="52">
        <f>'Oct 20'!$K66/$K$2</f>
        <v>9.996733784753728E-3</v>
      </c>
      <c r="M66" s="59"/>
    </row>
    <row r="67" spans="1:13" s="2" customFormat="1" ht="12.75" x14ac:dyDescent="0.2">
      <c r="A67" s="34"/>
      <c r="B67" s="61"/>
      <c r="C67" s="61"/>
      <c r="D67" s="74"/>
      <c r="E67" s="36"/>
      <c r="F67" s="36"/>
      <c r="G67" s="37"/>
      <c r="H67" s="61"/>
      <c r="I67" s="61"/>
      <c r="J67" s="34"/>
      <c r="K67" s="34"/>
      <c r="L67" s="40"/>
      <c r="M67" s="62"/>
    </row>
    <row r="68" spans="1:13" s="43" customFormat="1" ht="25.5" x14ac:dyDescent="0.25">
      <c r="A68" s="47" t="s">
        <v>206</v>
      </c>
      <c r="B68" s="54" t="s">
        <v>118</v>
      </c>
      <c r="C68" s="54" t="s">
        <v>119</v>
      </c>
      <c r="D68" s="55">
        <v>1.0122000000000001E-2</v>
      </c>
      <c r="E68" s="56">
        <f>'Oct 20'!$D68*$C$6*$C$2</f>
        <v>1753783.8669401454</v>
      </c>
      <c r="F68" s="56">
        <v>29642.319444444402</v>
      </c>
      <c r="G68" s="57">
        <f>'Oct 20'!$E68/'Oct 20'!$F68</f>
        <v>59.164866306332236</v>
      </c>
      <c r="H68" s="54">
        <v>72</v>
      </c>
      <c r="I68" s="54">
        <v>59</v>
      </c>
      <c r="J68" s="75">
        <f>I68-H68</f>
        <v>-13</v>
      </c>
      <c r="K68" s="56">
        <f>'Oct 20'!$F68*'Oct 20'!$I68</f>
        <v>1748896.8472222197</v>
      </c>
      <c r="L68" s="76">
        <f>'Oct 20'!$K68/$K$2</f>
        <v>9.743031445229736E-3</v>
      </c>
      <c r="M68" s="54"/>
    </row>
    <row r="69" spans="1:13" s="2" customFormat="1" ht="12.75" x14ac:dyDescent="0.2">
      <c r="A69" s="34"/>
      <c r="B69" s="61"/>
      <c r="C69" s="61"/>
      <c r="D69" s="74"/>
      <c r="E69" s="36"/>
      <c r="F69" s="36"/>
      <c r="G69" s="37"/>
      <c r="H69" s="61"/>
      <c r="I69" s="61"/>
      <c r="J69" s="34"/>
      <c r="K69" s="34"/>
      <c r="L69" s="40"/>
      <c r="M69" s="62"/>
    </row>
    <row r="70" spans="1:13" s="2" customFormat="1" ht="12.75" x14ac:dyDescent="0.2">
      <c r="A70" s="34"/>
      <c r="B70" s="61"/>
      <c r="C70" s="61"/>
      <c r="D70" s="77"/>
      <c r="E70" s="63"/>
      <c r="F70" s="36"/>
      <c r="G70" s="37"/>
      <c r="H70" s="61"/>
      <c r="I70" s="61"/>
      <c r="J70" s="34"/>
      <c r="K70" s="34"/>
      <c r="L70" s="40"/>
      <c r="M70" s="62"/>
    </row>
    <row r="71" spans="1:13" s="15" customFormat="1" ht="12.75" x14ac:dyDescent="0.2">
      <c r="A71" s="47" t="s">
        <v>208</v>
      </c>
      <c r="B71" s="65"/>
      <c r="C71" s="65"/>
      <c r="D71" s="65"/>
      <c r="E71" s="78"/>
      <c r="F71" s="78"/>
      <c r="G71" s="47"/>
      <c r="H71" s="65"/>
      <c r="I71" s="65"/>
      <c r="J71" s="65"/>
      <c r="K71" s="78">
        <f>SUM(K25,K27,K40,K50,K66,K68:K68)</f>
        <v>179502330.15808374</v>
      </c>
      <c r="L71" s="52">
        <f>'Oct 20'!$K71/$K$2</f>
        <v>1</v>
      </c>
      <c r="M71" s="65"/>
    </row>
    <row r="72" spans="1:13" s="2" customFormat="1" ht="12.75" x14ac:dyDescent="0.2">
      <c r="A72" s="62"/>
      <c r="B72" s="62"/>
      <c r="C72" s="62"/>
      <c r="D72" s="79"/>
      <c r="E72" s="80"/>
      <c r="F72" s="36"/>
      <c r="G72" s="81"/>
      <c r="H72" s="62"/>
      <c r="I72" s="62"/>
      <c r="J72" s="62"/>
      <c r="K72" s="62"/>
      <c r="L72" s="40"/>
      <c r="M72" s="62"/>
    </row>
    <row r="73" spans="1:13" s="2" customFormat="1" ht="12.75" x14ac:dyDescent="0.2">
      <c r="A73" s="62"/>
      <c r="B73" s="62"/>
      <c r="C73" s="62"/>
      <c r="D73" s="79"/>
      <c r="E73" s="80"/>
      <c r="F73" s="36"/>
      <c r="G73" s="81"/>
      <c r="H73" s="62"/>
      <c r="I73" s="62"/>
      <c r="J73" s="62"/>
      <c r="K73" s="62"/>
      <c r="L73" s="40"/>
      <c r="M73" s="62"/>
    </row>
    <row r="74" spans="1:13" s="2" customFormat="1" ht="12.75" x14ac:dyDescent="0.2">
      <c r="A74" s="62"/>
      <c r="B74" s="62"/>
      <c r="C74" s="62"/>
      <c r="D74" s="79"/>
      <c r="E74" s="80"/>
      <c r="F74" s="36"/>
      <c r="G74" s="81"/>
      <c r="H74" s="62"/>
      <c r="I74" s="62"/>
      <c r="J74" s="62"/>
      <c r="K74" s="62"/>
      <c r="L74" s="40"/>
      <c r="M74" s="62"/>
    </row>
    <row r="75" spans="1:13" s="2" customFormat="1" ht="12.75" x14ac:dyDescent="0.2">
      <c r="A75" s="62"/>
      <c r="B75" s="62"/>
      <c r="C75" s="62"/>
      <c r="D75" s="79"/>
      <c r="E75" s="80"/>
      <c r="F75" s="36"/>
      <c r="G75" s="81"/>
      <c r="H75" s="62"/>
      <c r="I75" s="62"/>
      <c r="J75" s="62"/>
      <c r="K75" s="62"/>
      <c r="L75" s="40"/>
      <c r="M75" s="62"/>
    </row>
    <row r="76" spans="1:13" s="2" customFormat="1" ht="12.75" x14ac:dyDescent="0.2">
      <c r="A76" s="62"/>
      <c r="B76" s="62"/>
      <c r="C76" s="62"/>
      <c r="D76" s="79"/>
      <c r="E76" s="80"/>
      <c r="F76" s="36"/>
      <c r="G76" s="81"/>
      <c r="H76" s="62"/>
      <c r="I76" s="62"/>
      <c r="J76" s="62"/>
      <c r="K76" s="62"/>
      <c r="L76" s="40"/>
      <c r="M76" s="62"/>
    </row>
    <row r="77" spans="1:13" s="2" customFormat="1" ht="12.75" x14ac:dyDescent="0.2">
      <c r="A77" s="62"/>
      <c r="B77" s="62"/>
      <c r="C77" s="62"/>
      <c r="D77" s="79"/>
      <c r="E77" s="80"/>
      <c r="F77" s="36"/>
      <c r="G77" s="81"/>
      <c r="H77" s="62"/>
      <c r="I77" s="62"/>
      <c r="J77" s="62"/>
      <c r="K77" s="62"/>
      <c r="L77" s="40"/>
      <c r="M77" s="62"/>
    </row>
    <row r="78" spans="1:13" s="2" customFormat="1" ht="12.75" x14ac:dyDescent="0.2">
      <c r="A78" s="62"/>
      <c r="B78" s="62"/>
      <c r="C78" s="62"/>
      <c r="D78" s="79"/>
      <c r="E78" s="80"/>
      <c r="F78" s="36"/>
      <c r="G78" s="81"/>
      <c r="H78" s="62"/>
      <c r="I78" s="62"/>
      <c r="J78" s="62"/>
      <c r="K78" s="62"/>
      <c r="L78" s="40"/>
      <c r="M78" s="62"/>
    </row>
    <row r="79" spans="1:13" s="2" customFormat="1" ht="12.75" x14ac:dyDescent="0.2">
      <c r="A79" s="62"/>
      <c r="B79" s="62"/>
      <c r="C79" s="62"/>
      <c r="D79" s="79"/>
      <c r="E79" s="80"/>
      <c r="F79" s="36"/>
      <c r="G79" s="81"/>
      <c r="H79" s="62"/>
      <c r="I79" s="62"/>
      <c r="J79" s="62"/>
      <c r="K79" s="62"/>
      <c r="L79" s="40"/>
      <c r="M79" s="62"/>
    </row>
    <row r="80" spans="1:13" s="2" customFormat="1" ht="12.75" x14ac:dyDescent="0.2">
      <c r="A80" s="62"/>
      <c r="B80" s="62"/>
      <c r="C80" s="62"/>
      <c r="D80" s="79"/>
      <c r="E80" s="80"/>
      <c r="F80" s="36"/>
      <c r="G80" s="81"/>
      <c r="H80" s="62"/>
      <c r="I80" s="62"/>
      <c r="J80" s="62"/>
      <c r="K80" s="62"/>
      <c r="L80" s="40"/>
      <c r="M80" s="62"/>
    </row>
    <row r="81" spans="1:13" s="2" customFormat="1" ht="12.75" x14ac:dyDescent="0.2"/>
    <row r="82" spans="1:13" s="2" customFormat="1" ht="12.75" x14ac:dyDescent="0.2"/>
    <row r="84" spans="1:13" s="2" customFormat="1" ht="12.75" x14ac:dyDescent="0.2">
      <c r="A84" s="82"/>
      <c r="B84" s="82"/>
      <c r="E84" s="82"/>
      <c r="F84" s="82"/>
      <c r="G84" s="82"/>
      <c r="H84" s="83"/>
      <c r="M84" s="82"/>
    </row>
    <row r="85" spans="1:13" s="2" customFormat="1" ht="12.75" x14ac:dyDescent="0.2">
      <c r="A85" s="82"/>
      <c r="B85" s="82"/>
      <c r="E85" s="82"/>
      <c r="F85" s="82"/>
      <c r="G85" s="82"/>
      <c r="H85" s="83"/>
      <c r="M85" s="82"/>
    </row>
    <row r="86" spans="1:13" s="2" customFormat="1" ht="12.75" x14ac:dyDescent="0.2">
      <c r="A86" s="84"/>
      <c r="B86" s="84"/>
    </row>
    <row r="87" spans="1:13" s="2" customFormat="1" ht="12.75" x14ac:dyDescent="0.2">
      <c r="A87" s="85"/>
      <c r="B87" s="85"/>
      <c r="E87" s="85"/>
      <c r="F87" s="84"/>
      <c r="G87" s="84"/>
      <c r="M87" s="86"/>
    </row>
    <row r="88" spans="1:13" s="2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MH88"/>
  <sheetViews>
    <sheetView zoomScale="125" zoomScaleNormal="125" workbookViewId="0">
      <pane xSplit="2" topLeftCell="C1" activePane="topRight" state="frozen"/>
      <selection pane="topRight" activeCell="P18" sqref="P18"/>
    </sheetView>
  </sheetViews>
  <sheetFormatPr defaultColWidth="9.140625" defaultRowHeight="15" x14ac:dyDescent="0.25"/>
  <cols>
    <col min="1" max="2" width="15.140625" style="2" customWidth="1"/>
    <col min="3" max="3" width="29.28515625" style="2" customWidth="1"/>
    <col min="4" max="4" width="14.85546875" style="2" customWidth="1"/>
    <col min="5" max="5" width="27.42578125" style="2" customWidth="1"/>
    <col min="6" max="7" width="13.7109375" style="2" customWidth="1"/>
    <col min="8" max="8" width="16.5703125" style="2" customWidth="1"/>
    <col min="9" max="9" width="15.5703125" style="2" customWidth="1"/>
    <col min="10" max="10" width="13.42578125" customWidth="1"/>
    <col min="11" max="11" width="23.5703125" customWidth="1"/>
    <col min="12" max="12" width="13.42578125" customWidth="1"/>
    <col min="13" max="13" width="22.5703125" style="2" customWidth="1"/>
    <col min="14" max="16" width="10.85546875" style="2" customWidth="1"/>
    <col min="17" max="17" width="11.28515625" style="2" customWidth="1"/>
    <col min="18" max="1022" width="9.140625" style="2"/>
  </cols>
  <sheetData>
    <row r="1" spans="1:17" s="2" customFormat="1" ht="25.5" x14ac:dyDescent="0.2">
      <c r="A1" s="3"/>
      <c r="B1" s="3" t="s">
        <v>138</v>
      </c>
      <c r="C1" s="4">
        <v>44125</v>
      </c>
      <c r="D1" s="5"/>
      <c r="E1" s="6" t="s">
        <v>139</v>
      </c>
      <c r="F1" s="7"/>
      <c r="G1" s="8"/>
      <c r="K1" s="9" t="s">
        <v>140</v>
      </c>
      <c r="L1" s="9" t="s">
        <v>141</v>
      </c>
      <c r="M1" s="10" t="s">
        <v>142</v>
      </c>
    </row>
    <row r="2" spans="1:17" x14ac:dyDescent="0.25">
      <c r="A2" s="3"/>
      <c r="B2" s="3" t="s">
        <v>143</v>
      </c>
      <c r="C2" s="11">
        <v>7.9061000000000003</v>
      </c>
      <c r="D2" s="12"/>
      <c r="E2" s="13">
        <f>SUM(E25,E40,E50,E66,E27,E68)</f>
        <v>156215856.61500981</v>
      </c>
      <c r="F2" s="14"/>
      <c r="G2" s="15"/>
      <c r="H2" s="12"/>
      <c r="I2" s="12"/>
      <c r="J2" s="12"/>
      <c r="K2" s="13">
        <f>SUM(K25,K40,K50,K66,K27,K68:K68)</f>
        <v>171343618.93269247</v>
      </c>
      <c r="L2" s="16">
        <f>SUM(L50,L66,L40,L25,L27,L68)</f>
        <v>1</v>
      </c>
      <c r="M2" s="17">
        <f>K2/$C$6</f>
        <v>8.6717782536046215</v>
      </c>
      <c r="N2" s="18"/>
    </row>
    <row r="3" spans="1:17" ht="26.25" x14ac:dyDescent="0.25">
      <c r="A3" s="3"/>
      <c r="B3" s="3" t="s">
        <v>144</v>
      </c>
      <c r="C3" s="19">
        <v>19758763.879999999</v>
      </c>
      <c r="D3" s="20"/>
      <c r="E3" s="6" t="s">
        <v>145</v>
      </c>
      <c r="F3" s="14"/>
      <c r="G3" s="15"/>
      <c r="H3" s="12"/>
      <c r="I3" s="12"/>
      <c r="J3" s="12"/>
      <c r="K3" s="6" t="s">
        <v>145</v>
      </c>
      <c r="L3" s="12"/>
      <c r="M3" s="10" t="s">
        <v>146</v>
      </c>
      <c r="N3" s="21"/>
    </row>
    <row r="4" spans="1:17" x14ac:dyDescent="0.25">
      <c r="A4" s="3"/>
      <c r="B4" s="3" t="s">
        <v>147</v>
      </c>
      <c r="C4" s="19">
        <v>0</v>
      </c>
      <c r="D4" s="20"/>
      <c r="E4" s="13">
        <f>SUM(E25,E66,E27)</f>
        <v>30634652.334776767</v>
      </c>
      <c r="F4" s="14"/>
      <c r="G4" s="15"/>
      <c r="H4" s="12"/>
      <c r="I4" s="12"/>
      <c r="J4" s="12"/>
      <c r="K4" s="13">
        <f>SUM(K25,K27,K66)</f>
        <v>30786109.219273843</v>
      </c>
      <c r="L4" s="12"/>
      <c r="M4" s="17">
        <f>K4/$C$6</f>
        <v>1.5580989482057541</v>
      </c>
      <c r="N4" s="21"/>
    </row>
    <row r="5" spans="1:17" x14ac:dyDescent="0.25">
      <c r="A5" s="3"/>
      <c r="B5" s="3" t="s">
        <v>148</v>
      </c>
      <c r="C5" s="19">
        <v>0</v>
      </c>
      <c r="D5" s="20"/>
      <c r="E5" s="14"/>
      <c r="F5" s="14"/>
      <c r="G5" s="22">
        <f>SUM(D25,D27,D40,D50,D66,D68:D68)</f>
        <v>1.0000070000000001</v>
      </c>
      <c r="H5" s="12"/>
      <c r="I5" s="12"/>
      <c r="J5" s="12"/>
      <c r="K5" s="12"/>
      <c r="L5" s="12"/>
      <c r="M5" s="12"/>
      <c r="N5" s="21"/>
    </row>
    <row r="6" spans="1:17" x14ac:dyDescent="0.25">
      <c r="A6" s="3"/>
      <c r="B6" s="3" t="s">
        <v>149</v>
      </c>
      <c r="C6" s="19">
        <f>C3+C4-C5</f>
        <v>19758763.879999999</v>
      </c>
      <c r="D6" s="20"/>
      <c r="E6" s="14"/>
      <c r="F6" s="14"/>
      <c r="G6" s="15"/>
      <c r="H6" s="12"/>
      <c r="I6" s="12"/>
      <c r="J6" s="12"/>
      <c r="K6" s="12"/>
      <c r="L6" s="12"/>
      <c r="M6" s="12"/>
      <c r="N6" s="21"/>
    </row>
    <row r="7" spans="1:17" x14ac:dyDescent="0.25">
      <c r="A7" s="23"/>
      <c r="B7" s="24"/>
      <c r="C7" s="24"/>
      <c r="D7" s="25"/>
      <c r="E7" s="26"/>
      <c r="F7" s="26"/>
      <c r="G7" s="26"/>
      <c r="H7" s="27"/>
      <c r="I7" s="27"/>
      <c r="J7" s="27"/>
      <c r="K7" s="12"/>
      <c r="L7" s="12"/>
      <c r="M7" s="12"/>
      <c r="N7" s="21"/>
    </row>
    <row r="8" spans="1:17" s="32" customFormat="1" ht="38.25" x14ac:dyDescent="0.2">
      <c r="A8" s="28" t="s">
        <v>150</v>
      </c>
      <c r="B8" s="28" t="s">
        <v>151</v>
      </c>
      <c r="C8" s="29" t="s">
        <v>1</v>
      </c>
      <c r="D8" s="29" t="s">
        <v>152</v>
      </c>
      <c r="E8" s="29" t="s">
        <v>153</v>
      </c>
      <c r="F8" s="29" t="s">
        <v>154</v>
      </c>
      <c r="G8" s="29" t="s">
        <v>155</v>
      </c>
      <c r="H8" s="29" t="s">
        <v>156</v>
      </c>
      <c r="I8" s="29" t="s">
        <v>157</v>
      </c>
      <c r="J8" s="29" t="s">
        <v>158</v>
      </c>
      <c r="K8" s="30" t="s">
        <v>159</v>
      </c>
      <c r="L8" s="30" t="s">
        <v>160</v>
      </c>
      <c r="M8" s="30" t="s">
        <v>161</v>
      </c>
      <c r="N8" s="31"/>
      <c r="Q8" s="33"/>
    </row>
    <row r="9" spans="1:17" s="43" customFormat="1" ht="12.75" x14ac:dyDescent="0.25">
      <c r="A9" s="34" t="s">
        <v>162</v>
      </c>
      <c r="B9" s="34" t="s">
        <v>46</v>
      </c>
      <c r="C9" s="34" t="s">
        <v>47</v>
      </c>
      <c r="D9" s="35">
        <v>1.2822E-2</v>
      </c>
      <c r="E9" s="36">
        <f>'Oct 21'!$D9*$C$6*$C$2</f>
        <v>2002985.6926178073</v>
      </c>
      <c r="F9" s="36">
        <v>541.78996556812604</v>
      </c>
      <c r="G9" s="37">
        <f>'Oct 21'!$E9/'Oct 21'!$F9</f>
        <v>3696.978201723352</v>
      </c>
      <c r="H9" s="34">
        <v>4066</v>
      </c>
      <c r="I9" s="34">
        <f>ROUND(Table138958456799101112131445626789101112131415161718192021345678910111213141516[[#This Row],[Target Quantity]],0)</f>
        <v>3697</v>
      </c>
      <c r="J9" s="38">
        <f t="shared" ref="J9:J23" si="0">I9-H9</f>
        <v>-369</v>
      </c>
      <c r="K9" s="39">
        <f>'Oct 21'!$F9*'Oct 21'!$I9</f>
        <v>2002997.5027053619</v>
      </c>
      <c r="L9" s="40">
        <f>'Oct 21'!$K9/$K$2</f>
        <v>1.1689945124202048E-2</v>
      </c>
      <c r="M9" s="41"/>
      <c r="N9" s="42"/>
      <c r="O9" s="87"/>
    </row>
    <row r="10" spans="1:17" s="43" customFormat="1" ht="12.75" customHeight="1" x14ac:dyDescent="0.25">
      <c r="A10" s="34" t="s">
        <v>162</v>
      </c>
      <c r="B10" s="34" t="s">
        <v>55</v>
      </c>
      <c r="C10" s="34" t="s">
        <v>56</v>
      </c>
      <c r="D10" s="35">
        <v>1.2822E-2</v>
      </c>
      <c r="E10" s="36">
        <f>'Oct 21'!$D10*$C$6*$C$2</f>
        <v>2002985.6926178073</v>
      </c>
      <c r="F10" s="36">
        <v>422.01002752654398</v>
      </c>
      <c r="G10" s="37">
        <f>'Oct 21'!$E10/'Oct 21'!$F10</f>
        <v>4746.2988127499448</v>
      </c>
      <c r="H10" s="34">
        <v>5086</v>
      </c>
      <c r="I10" s="34">
        <f>ROUND(Table138958456799101112131445626789101112131415161718192021345678910111213141516[[#This Row],[Target Quantity]],0)</f>
        <v>4746</v>
      </c>
      <c r="J10" s="38">
        <f t="shared" si="0"/>
        <v>-340</v>
      </c>
      <c r="K10" s="39">
        <f>'Oct 21'!$F10*'Oct 21'!$I10</f>
        <v>2002859.5906409777</v>
      </c>
      <c r="L10" s="40">
        <f>'Oct 21'!$K10/$K$2</f>
        <v>1.1689140238293583E-2</v>
      </c>
      <c r="M10" s="41"/>
    </row>
    <row r="11" spans="1:17" s="43" customFormat="1" ht="12.75" customHeight="1" x14ac:dyDescent="0.25">
      <c r="A11" s="34" t="s">
        <v>162</v>
      </c>
      <c r="B11" s="34" t="s">
        <v>37</v>
      </c>
      <c r="C11" s="34" t="s">
        <v>38</v>
      </c>
      <c r="D11" s="35">
        <v>1.2822E-2</v>
      </c>
      <c r="E11" s="36">
        <f>'Oct 21'!$D11*$C$6*$C$2</f>
        <v>2002985.6926178073</v>
      </c>
      <c r="F11" s="36">
        <v>82.719986783170597</v>
      </c>
      <c r="G11" s="37">
        <f>'Oct 21'!$E11/'Oct 21'!$F11</f>
        <v>24214.047541715943</v>
      </c>
      <c r="H11" s="34">
        <v>27238</v>
      </c>
      <c r="I11" s="34">
        <f>ROUND(Table138958456799101112131445626789101112131415161718192021345678910111213141516[[#This Row],[Target Quantity]],0)</f>
        <v>24214</v>
      </c>
      <c r="J11" s="38">
        <f t="shared" si="0"/>
        <v>-3024</v>
      </c>
      <c r="K11" s="39">
        <f>'Oct 21'!$F11*'Oct 21'!$I11</f>
        <v>2002981.7599676929</v>
      </c>
      <c r="L11" s="40">
        <f>'Oct 21'!$K11/$K$2</f>
        <v>1.1689853246034847E-2</v>
      </c>
      <c r="M11" s="41"/>
    </row>
    <row r="12" spans="1:17" s="44" customFormat="1" ht="12.75" customHeight="1" x14ac:dyDescent="0.25">
      <c r="A12" s="34" t="s">
        <v>162</v>
      </c>
      <c r="B12" s="34" t="s">
        <v>23</v>
      </c>
      <c r="C12" s="34" t="s">
        <v>24</v>
      </c>
      <c r="D12" s="35">
        <v>1.2822E-2</v>
      </c>
      <c r="E12" s="36">
        <f>'Oct 21'!$D12*$C$6*$C$2</f>
        <v>2002985.6926178073</v>
      </c>
      <c r="F12" s="36">
        <v>225.799979421751</v>
      </c>
      <c r="G12" s="37">
        <f>'Oct 21'!$E12/'Oct 21'!$F12</f>
        <v>8870.6194648344699</v>
      </c>
      <c r="H12" s="34">
        <v>9719</v>
      </c>
      <c r="I12" s="34">
        <f>ROUND(Table138958456799101112131445626789101112131415161718192021345678910111213141516[[#This Row],[Target Quantity]],0)</f>
        <v>8871</v>
      </c>
      <c r="J12" s="38">
        <f t="shared" si="0"/>
        <v>-848</v>
      </c>
      <c r="K12" s="39">
        <f>'Oct 21'!$F12*'Oct 21'!$I12</f>
        <v>2003071.6174503532</v>
      </c>
      <c r="L12" s="40">
        <f>'Oct 21'!$K12/$K$2</f>
        <v>1.1690377674567523E-2</v>
      </c>
      <c r="M12" s="34"/>
    </row>
    <row r="13" spans="1:17" s="44" customFormat="1" ht="12.75" customHeight="1" x14ac:dyDescent="0.25">
      <c r="A13" s="34" t="s">
        <v>162</v>
      </c>
      <c r="B13" s="34" t="s">
        <v>60</v>
      </c>
      <c r="C13" s="34" t="s">
        <v>61</v>
      </c>
      <c r="D13" s="35">
        <v>1.2822E-2</v>
      </c>
      <c r="E13" s="36">
        <f>'Oct 21'!$D13*$C$6*$C$2</f>
        <v>2002985.6926178073</v>
      </c>
      <c r="F13" s="36">
        <v>533</v>
      </c>
      <c r="G13" s="37">
        <f>'Oct 21'!$E13/'Oct 21'!$F13</f>
        <v>3757.9468904649293</v>
      </c>
      <c r="H13" s="34">
        <v>3881</v>
      </c>
      <c r="I13" s="34">
        <f>ROUND(Table138958456799101112131445626789101112131415161718192021345678910111213141516[[#This Row],[Target Quantity]],0)</f>
        <v>3758</v>
      </c>
      <c r="J13" s="38">
        <f t="shared" si="0"/>
        <v>-123</v>
      </c>
      <c r="K13" s="39">
        <f>'Oct 21'!$F13*'Oct 21'!$I13</f>
        <v>2003014</v>
      </c>
      <c r="L13" s="40">
        <f>'Oct 21'!$K13/$K$2</f>
        <v>1.169004140613388E-2</v>
      </c>
      <c r="M13" s="34"/>
    </row>
    <row r="14" spans="1:17" s="44" customFormat="1" ht="12.75" customHeight="1" x14ac:dyDescent="0.25">
      <c r="A14" s="34" t="s">
        <v>162</v>
      </c>
      <c r="B14" s="34" t="s">
        <v>165</v>
      </c>
      <c r="C14" s="34" t="s">
        <v>166</v>
      </c>
      <c r="D14" s="35">
        <v>1.2822E-2</v>
      </c>
      <c r="E14" s="36">
        <f>'Oct 21'!$D14*$C$6*$C$2</f>
        <v>2002985.6926178073</v>
      </c>
      <c r="F14" s="36">
        <v>286.98002577319602</v>
      </c>
      <c r="G14" s="37">
        <f>'Oct 21'!$E14/'Oct 21'!$F14</f>
        <v>6979.5299767684619</v>
      </c>
      <c r="H14" s="34">
        <v>7760</v>
      </c>
      <c r="I14" s="34">
        <f>ROUND(Table138958456799101112131445626789101112131415161718192021345678910111213141516[[#This Row],[Target Quantity]],0)</f>
        <v>6980</v>
      </c>
      <c r="J14" s="38">
        <f t="shared" si="0"/>
        <v>-780</v>
      </c>
      <c r="K14" s="39">
        <f>'Oct 21'!$F14*'Oct 21'!$I14</f>
        <v>2003120.5798969083</v>
      </c>
      <c r="L14" s="40">
        <f>'Oct 21'!$K14/$K$2</f>
        <v>1.1690663430447199E-2</v>
      </c>
      <c r="M14" s="34"/>
    </row>
    <row r="15" spans="1:17" s="44" customFormat="1" ht="12.75" customHeight="1" x14ac:dyDescent="0.25">
      <c r="A15" s="34" t="s">
        <v>162</v>
      </c>
      <c r="B15" s="34" t="s">
        <v>43</v>
      </c>
      <c r="C15" s="34" t="s">
        <v>44</v>
      </c>
      <c r="D15" s="35">
        <v>1.2822E-2</v>
      </c>
      <c r="E15" s="36">
        <f>'Oct 21'!$D15*$C$6*$C$2</f>
        <v>2002985.6926178073</v>
      </c>
      <c r="F15" s="36">
        <v>1345</v>
      </c>
      <c r="G15" s="37">
        <f>'Oct 21'!$E15/'Oct 21'!$F15</f>
        <v>1489.2086933961393</v>
      </c>
      <c r="H15" s="34">
        <v>1729</v>
      </c>
      <c r="I15" s="34">
        <f>ROUND(Table138958456799101112131445626789101112131415161718192021345678910111213141516[[#This Row],[Target Quantity]],0)</f>
        <v>1489</v>
      </c>
      <c r="J15" s="38">
        <f t="shared" si="0"/>
        <v>-240</v>
      </c>
      <c r="K15" s="39">
        <f>'Oct 21'!$F15*'Oct 21'!$I15</f>
        <v>2002705</v>
      </c>
      <c r="L15" s="40">
        <f>'Oct 21'!$K15/$K$2</f>
        <v>1.1688238012450912E-2</v>
      </c>
      <c r="M15" s="34"/>
    </row>
    <row r="16" spans="1:17" s="44" customFormat="1" ht="12.75" customHeight="1" x14ac:dyDescent="0.25">
      <c r="A16" s="34" t="s">
        <v>162</v>
      </c>
      <c r="B16" s="34" t="s">
        <v>167</v>
      </c>
      <c r="C16" s="34" t="s">
        <v>168</v>
      </c>
      <c r="D16" s="35">
        <v>1.2822E-2</v>
      </c>
      <c r="E16" s="36">
        <f>'Oct 21'!$D16*$C$6*$C$2</f>
        <v>2002985.6926178073</v>
      </c>
      <c r="F16" s="36">
        <v>174.879990696953</v>
      </c>
      <c r="G16" s="37">
        <f>'Oct 21'!$E16/'Oct 21'!$F16</f>
        <v>11453.486957743222</v>
      </c>
      <c r="H16" s="34">
        <v>12899</v>
      </c>
      <c r="I16" s="34">
        <f>ROUND(Table138958456799101112131445626789101112131415161718192021345678910111213141516[[#This Row],[Target Quantity]],0)</f>
        <v>11453</v>
      </c>
      <c r="J16" s="38">
        <f t="shared" si="0"/>
        <v>-1446</v>
      </c>
      <c r="K16" s="39">
        <f>'Oct 21'!$F16*'Oct 21'!$I16</f>
        <v>2002900.5334522028</v>
      </c>
      <c r="L16" s="40">
        <f>'Oct 21'!$K16/$K$2</f>
        <v>1.1689379189772956E-2</v>
      </c>
      <c r="M16" s="34"/>
    </row>
    <row r="17" spans="1:15" s="44" customFormat="1" ht="12.75" customHeight="1" x14ac:dyDescent="0.25">
      <c r="A17" s="34" t="s">
        <v>162</v>
      </c>
      <c r="B17" s="34" t="s">
        <v>28</v>
      </c>
      <c r="C17" s="34" t="s">
        <v>29</v>
      </c>
      <c r="D17" s="35">
        <v>1.2822E-2</v>
      </c>
      <c r="E17" s="36">
        <f>'Oct 21'!$D17*$C$6*$C$2</f>
        <v>2002985.6926178073</v>
      </c>
      <c r="F17" s="36">
        <v>286</v>
      </c>
      <c r="G17" s="37">
        <f>'Oct 21'!$E17/'Oct 21'!$F17</f>
        <v>7003.4464776846407</v>
      </c>
      <c r="H17" s="34">
        <v>7873</v>
      </c>
      <c r="I17" s="34">
        <f>ROUND(Table138958456799101112131445626789101112131415161718192021345678910111213141516[[#This Row],[Target Quantity]],0)</f>
        <v>7003</v>
      </c>
      <c r="J17" s="38">
        <f t="shared" si="0"/>
        <v>-870</v>
      </c>
      <c r="K17" s="39">
        <f>'Oct 21'!$F17*'Oct 21'!$I17</f>
        <v>2002858</v>
      </c>
      <c r="L17" s="40">
        <f>'Oct 21'!$K17/$K$2</f>
        <v>1.168913095495413E-2</v>
      </c>
      <c r="M17" s="34"/>
    </row>
    <row r="18" spans="1:15" s="44" customFormat="1" ht="12.75" customHeight="1" x14ac:dyDescent="0.25">
      <c r="A18" s="34" t="s">
        <v>162</v>
      </c>
      <c r="B18" s="34" t="s">
        <v>19</v>
      </c>
      <c r="C18" s="34" t="s">
        <v>20</v>
      </c>
      <c r="D18" s="35">
        <v>1.2822E-2</v>
      </c>
      <c r="E18" s="36">
        <f>'Oct 21'!$D18*$C$6*$C$2</f>
        <v>2002985.6926178073</v>
      </c>
      <c r="F18" s="36">
        <v>1348.4699157641401</v>
      </c>
      <c r="G18" s="37">
        <f>'Oct 21'!$E18/'Oct 21'!$F18</f>
        <v>1485.3766251676229</v>
      </c>
      <c r="H18" s="34">
        <v>1662</v>
      </c>
      <c r="I18" s="34">
        <f>ROUND(Table138958456799101112131445626789101112131415161718192021345678910111213141516[[#This Row],[Target Quantity]],0)</f>
        <v>1485</v>
      </c>
      <c r="J18" s="38">
        <f t="shared" si="0"/>
        <v>-177</v>
      </c>
      <c r="K18" s="39">
        <f>'Oct 21'!$F18*'Oct 21'!$I18</f>
        <v>2002477.824909748</v>
      </c>
      <c r="L18" s="40">
        <f>'Oct 21'!$K18/$K$2</f>
        <v>1.1686912167393671E-2</v>
      </c>
      <c r="M18" s="34"/>
    </row>
    <row r="19" spans="1:15" s="44" customFormat="1" ht="12.75" customHeight="1" x14ac:dyDescent="0.25">
      <c r="A19" s="34" t="s">
        <v>162</v>
      </c>
      <c r="B19" s="34" t="s">
        <v>25</v>
      </c>
      <c r="C19" s="34" t="s">
        <v>26</v>
      </c>
      <c r="D19" s="35">
        <v>6.411E-3</v>
      </c>
      <c r="E19" s="36">
        <f>'Oct 21'!$D19*$C$6*$C$2</f>
        <v>1001492.8463089037</v>
      </c>
      <c r="F19" s="36">
        <v>17.700001544234599</v>
      </c>
      <c r="G19" s="37">
        <f>'Oct 21'!$E19/'Oct 21'!$F19</f>
        <v>56581.511804168105</v>
      </c>
      <c r="H19" s="34">
        <v>64757</v>
      </c>
      <c r="I19" s="34">
        <f>ROUND(Table138958456799101112131445626789101112131415161718192021345678910111213141516[[#This Row],[Target Quantity]],0)</f>
        <v>56582</v>
      </c>
      <c r="J19" s="38">
        <f t="shared" si="0"/>
        <v>-8175</v>
      </c>
      <c r="K19" s="39">
        <f>'Oct 21'!$F19*'Oct 21'!$I19</f>
        <v>1001501.4873758821</v>
      </c>
      <c r="L19" s="40">
        <f>'Oct 21'!$K19/$K$2</f>
        <v>5.8449885301494293E-3</v>
      </c>
      <c r="M19" s="34"/>
    </row>
    <row r="20" spans="1:15" s="44" customFormat="1" ht="12.75" customHeight="1" x14ac:dyDescent="0.25">
      <c r="A20" s="34" t="s">
        <v>162</v>
      </c>
      <c r="B20" s="34" t="s">
        <v>214</v>
      </c>
      <c r="C20" s="34" t="s">
        <v>215</v>
      </c>
      <c r="D20" s="35">
        <v>6.411E-3</v>
      </c>
      <c r="E20" s="36">
        <f>'Oct 21'!$D20*$C$6*$C$2</f>
        <v>1001492.8463089037</v>
      </c>
      <c r="F20" s="36">
        <v>83.290027515431007</v>
      </c>
      <c r="G20" s="37">
        <f>'Oct 21'!$E20/'Oct 21'!$F20</f>
        <v>12024.162750136667</v>
      </c>
      <c r="H20" s="34">
        <v>13447</v>
      </c>
      <c r="I20" s="34">
        <f>ROUND(Table138958456799101112131445626789101112131415161718192021345678910111213141516[[#This Row],[Target Quantity]],0)</f>
        <v>12024</v>
      </c>
      <c r="J20" s="38">
        <f t="shared" si="0"/>
        <v>-1423</v>
      </c>
      <c r="K20" s="39">
        <f>'Oct 21'!$F20*'Oct 21'!$I20</f>
        <v>1001479.2908455424</v>
      </c>
      <c r="L20" s="40">
        <f>'Oct 21'!$K20/$K$2</f>
        <v>5.8448589861928007E-3</v>
      </c>
      <c r="M20" s="34"/>
    </row>
    <row r="21" spans="1:15" s="44" customFormat="1" ht="12.75" customHeight="1" x14ac:dyDescent="0.25">
      <c r="A21" s="34" t="s">
        <v>162</v>
      </c>
      <c r="B21" s="34" t="s">
        <v>216</v>
      </c>
      <c r="C21" s="34" t="s">
        <v>217</v>
      </c>
      <c r="D21" s="35">
        <v>6.411E-3</v>
      </c>
      <c r="E21" s="36">
        <f>'Oct 21'!$D21*$C$6*$C$2</f>
        <v>1001492.8463089037</v>
      </c>
      <c r="F21" s="36">
        <v>76.519972686923893</v>
      </c>
      <c r="G21" s="37">
        <f>'Oct 21'!$E21/'Oct 21'!$F21</f>
        <v>13087.992731080047</v>
      </c>
      <c r="H21" s="34">
        <v>14645</v>
      </c>
      <c r="I21" s="34">
        <f>ROUND(Table138958456799101112131445626789101112131415161718192021345678910111213141516[[#This Row],[Target Quantity]],0)</f>
        <v>13088</v>
      </c>
      <c r="J21" s="38">
        <f t="shared" si="0"/>
        <v>-1557</v>
      </c>
      <c r="K21" s="39">
        <f>'Oct 21'!$F21*'Oct 21'!$I21</f>
        <v>1001493.4025264599</v>
      </c>
      <c r="L21" s="40">
        <f>'Oct 21'!$K21/$K$2</f>
        <v>5.844941345144977E-3</v>
      </c>
      <c r="M21" s="34"/>
    </row>
    <row r="22" spans="1:15" s="44" customFormat="1" ht="12.75" customHeight="1" x14ac:dyDescent="0.25">
      <c r="A22" s="34" t="s">
        <v>162</v>
      </c>
      <c r="B22" s="34" t="s">
        <v>218</v>
      </c>
      <c r="C22" s="34" t="s">
        <v>219</v>
      </c>
      <c r="D22" s="35">
        <v>1.2822E-2</v>
      </c>
      <c r="E22" s="36">
        <f>'Oct 21'!$D22*$C$6*$C$2</f>
        <v>2002985.6926178073</v>
      </c>
      <c r="F22" s="36">
        <v>177.090022800535</v>
      </c>
      <c r="G22" s="37">
        <f>'Oct 21'!$E22/'Oct 21'!$F22</f>
        <v>11310.550763629786</v>
      </c>
      <c r="H22" s="34">
        <v>12719</v>
      </c>
      <c r="I22" s="34">
        <f>ROUND(Table138958456799101112131445626789101112131415161718192021345678910111213141516[[#This Row],[Target Quantity]],0)</f>
        <v>11311</v>
      </c>
      <c r="J22" s="38">
        <f t="shared" si="0"/>
        <v>-1408</v>
      </c>
      <c r="K22" s="39">
        <f>'Oct 21'!$F22*'Oct 21'!$I22</f>
        <v>2003065.2478968513</v>
      </c>
      <c r="L22" s="40">
        <f>'Oct 21'!$K22/$K$2</f>
        <v>1.169034050041688E-2</v>
      </c>
      <c r="M22" s="34"/>
    </row>
    <row r="23" spans="1:15" s="44" customFormat="1" ht="12.75" customHeight="1" x14ac:dyDescent="0.25">
      <c r="A23" s="34" t="s">
        <v>162</v>
      </c>
      <c r="B23" s="34" t="s">
        <v>40</v>
      </c>
      <c r="C23" s="34" t="s">
        <v>41</v>
      </c>
      <c r="D23" s="35">
        <v>6.411E-3</v>
      </c>
      <c r="E23" s="36">
        <f>'Oct 21'!$D23*$C$6*$C$2</f>
        <v>1001492.8463089037</v>
      </c>
      <c r="F23" s="36">
        <v>32.780013133544301</v>
      </c>
      <c r="G23" s="37">
        <f>'Oct 21'!$E23/'Oct 21'!$F23</f>
        <v>30551.935480588942</v>
      </c>
      <c r="H23" s="34">
        <v>33502</v>
      </c>
      <c r="I23" s="34">
        <f>ROUND(Table138958456799101112131445626789101112131415161718192021345678910111213141516[[#This Row],[Target Quantity]],0)</f>
        <v>30552</v>
      </c>
      <c r="J23" s="38">
        <f t="shared" si="0"/>
        <v>-2950</v>
      </c>
      <c r="K23" s="39">
        <f>'Oct 21'!$F23*'Oct 21'!$I23</f>
        <v>1001494.9612560455</v>
      </c>
      <c r="L23" s="40">
        <f>'Oct 21'!$K23/$K$2</f>
        <v>5.8449504422423502E-3</v>
      </c>
      <c r="M23" s="34"/>
    </row>
    <row r="24" spans="1:15" s="44" customFormat="1" ht="12.75" customHeight="1" x14ac:dyDescent="0.25">
      <c r="A24" s="34"/>
      <c r="B24" s="34"/>
      <c r="C24" s="34"/>
      <c r="D24" s="35"/>
      <c r="E24" s="36"/>
      <c r="F24" s="36"/>
      <c r="G24" s="37"/>
      <c r="H24" s="34"/>
      <c r="I24" s="34"/>
      <c r="J24" s="45"/>
      <c r="K24" s="36"/>
      <c r="L24" s="46"/>
      <c r="M24" s="34"/>
    </row>
    <row r="25" spans="1:15" s="53" customFormat="1" ht="12.75" customHeight="1" x14ac:dyDescent="0.25">
      <c r="A25" s="47" t="s">
        <v>175</v>
      </c>
      <c r="B25" s="47"/>
      <c r="C25" s="47"/>
      <c r="D25" s="48">
        <f>SUM(D9:D24)</f>
        <v>0.166686</v>
      </c>
      <c r="E25" s="49">
        <f>'Oct 21'!$D25*$C$6*$C$2</f>
        <v>26038814.004031494</v>
      </c>
      <c r="F25" s="50"/>
      <c r="G25" s="50"/>
      <c r="H25" s="47"/>
      <c r="I25" s="47"/>
      <c r="J25" s="51"/>
      <c r="K25" s="49">
        <f>SUM(K9:K24)</f>
        <v>26038020.798924025</v>
      </c>
      <c r="L25" s="52">
        <f>'Oct 21'!$K25/$K$2</f>
        <v>0.15196376124839717</v>
      </c>
      <c r="M25" s="47"/>
    </row>
    <row r="26" spans="1:15" s="44" customFormat="1" ht="12.75" customHeight="1" x14ac:dyDescent="0.25">
      <c r="A26" s="34"/>
      <c r="B26" s="34"/>
      <c r="C26" s="34"/>
      <c r="D26" s="35"/>
      <c r="E26" s="36"/>
      <c r="F26" s="36"/>
      <c r="G26" s="37"/>
      <c r="H26" s="34"/>
      <c r="I26" s="34"/>
      <c r="J26" s="45"/>
      <c r="K26" s="36"/>
      <c r="L26" s="40"/>
      <c r="M26" s="34"/>
    </row>
    <row r="27" spans="1:15" s="43" customFormat="1" ht="12.75" customHeight="1" x14ac:dyDescent="0.25">
      <c r="A27" s="54"/>
      <c r="B27" s="47" t="s">
        <v>34</v>
      </c>
      <c r="C27" s="54" t="s">
        <v>35</v>
      </c>
      <c r="D27" s="55">
        <v>1.9609999999999999E-2</v>
      </c>
      <c r="E27" s="56">
        <f>'Oct 21'!$D27*$C$6*$C$2</f>
        <v>3063371.5046198093</v>
      </c>
      <c r="F27" s="50">
        <v>18.290000801003899</v>
      </c>
      <c r="G27" s="57">
        <f>'Oct 21'!$E27/'Oct 21'!$F27</f>
        <v>167488.86661894884</v>
      </c>
      <c r="H27" s="54">
        <v>187265</v>
      </c>
      <c r="I27" s="54">
        <f>ROUND(Table138958456799101112131445626789101112131415161718192021345678910111213141516[[#This Row],[Target Quantity]],0)</f>
        <v>167489</v>
      </c>
      <c r="J27" s="58">
        <f>I27-H27</f>
        <v>-19776</v>
      </c>
      <c r="K27" s="59">
        <f>'Oct 21'!$F27*'Oct 21'!$I27</f>
        <v>3063373.944159342</v>
      </c>
      <c r="L27" s="52">
        <f>'Oct 21'!$K27/$K$2</f>
        <v>1.7878541163314068E-2</v>
      </c>
      <c r="M27" s="47"/>
      <c r="O27" s="42"/>
    </row>
    <row r="28" spans="1:15" s="43" customFormat="1" ht="12.75" customHeight="1" x14ac:dyDescent="0.25">
      <c r="A28" s="34"/>
      <c r="B28" s="34"/>
      <c r="C28" s="34"/>
      <c r="D28" s="35"/>
      <c r="E28" s="36"/>
      <c r="F28" s="36"/>
      <c r="G28" s="37"/>
      <c r="H28" s="34"/>
      <c r="I28" s="34"/>
      <c r="J28" s="45"/>
      <c r="K28" s="39"/>
      <c r="L28" s="40"/>
      <c r="M28" s="34"/>
      <c r="O28" s="42"/>
    </row>
    <row r="29" spans="1:15" s="2" customFormat="1" ht="25.5" x14ac:dyDescent="0.2">
      <c r="A29" s="34" t="s">
        <v>176</v>
      </c>
      <c r="B29" s="60" t="s">
        <v>109</v>
      </c>
      <c r="C29" s="61" t="s">
        <v>110</v>
      </c>
      <c r="D29" s="35">
        <v>2.9415E-2</v>
      </c>
      <c r="E29" s="36">
        <f>'Oct 21'!$D29*$C$6*$C$2</f>
        <v>4595057.2569297142</v>
      </c>
      <c r="F29" s="36">
        <v>157962.8125</v>
      </c>
      <c r="G29" s="37">
        <f>'Oct 21'!$E29/'Oct 21'!$F29</f>
        <v>29.08948748256628</v>
      </c>
      <c r="H29" s="34">
        <v>32</v>
      </c>
      <c r="I29" s="34">
        <v>29</v>
      </c>
      <c r="J29" s="38">
        <f t="shared" ref="J29:J38" si="1">I29-H29</f>
        <v>-3</v>
      </c>
      <c r="K29" s="39">
        <f>'Oct 21'!$F29*'Oct 21'!$I29</f>
        <v>4580921.5625</v>
      </c>
      <c r="L29" s="40">
        <f>'Oct 21'!$K29/$K$2</f>
        <v>2.673529128796729E-2</v>
      </c>
      <c r="M29" s="62"/>
    </row>
    <row r="30" spans="1:15" s="2" customFormat="1" ht="25.5" x14ac:dyDescent="0.2">
      <c r="A30" s="34" t="s">
        <v>176</v>
      </c>
      <c r="B30" s="60" t="s">
        <v>115</v>
      </c>
      <c r="C30" s="61" t="s">
        <v>116</v>
      </c>
      <c r="D30" s="35">
        <v>2.9415E-2</v>
      </c>
      <c r="E30" s="36">
        <f>'Oct 21'!$D30*$C$6*$C$2</f>
        <v>4595057.2569297142</v>
      </c>
      <c r="F30" s="36">
        <v>215136.60869565199</v>
      </c>
      <c r="G30" s="37">
        <f>'Oct 21'!$E30/'Oct 21'!$F30</f>
        <v>21.358788189462533</v>
      </c>
      <c r="H30" s="34">
        <v>23</v>
      </c>
      <c r="I30" s="34">
        <v>21</v>
      </c>
      <c r="J30" s="38">
        <f t="shared" si="1"/>
        <v>-2</v>
      </c>
      <c r="K30" s="39">
        <f>'Oct 21'!$F30*'Oct 21'!$I30</f>
        <v>4517868.7826086916</v>
      </c>
      <c r="L30" s="40">
        <f>'Oct 21'!$K30/$K$2</f>
        <v>2.6367301045412198E-2</v>
      </c>
      <c r="M30" s="62"/>
    </row>
    <row r="31" spans="1:15" s="2" customFormat="1" ht="25.5" x14ac:dyDescent="0.2">
      <c r="A31" s="34" t="s">
        <v>176</v>
      </c>
      <c r="B31" s="60" t="s">
        <v>121</v>
      </c>
      <c r="C31" s="61" t="s">
        <v>122</v>
      </c>
      <c r="D31" s="35">
        <v>2.9415E-2</v>
      </c>
      <c r="E31" s="36">
        <f>'Oct 21'!$D31*$C$6*$C$2</f>
        <v>4595057.2569297142</v>
      </c>
      <c r="F31" s="36">
        <v>173113.137931034</v>
      </c>
      <c r="G31" s="37">
        <f>'Oct 21'!$E31/'Oct 21'!$F31</f>
        <v>26.543665673487617</v>
      </c>
      <c r="H31" s="34">
        <v>29</v>
      </c>
      <c r="I31" s="34">
        <v>27</v>
      </c>
      <c r="J31" s="38">
        <f t="shared" si="1"/>
        <v>-2</v>
      </c>
      <c r="K31" s="39">
        <f>'Oct 21'!$F31*'Oct 21'!$I31</f>
        <v>4674054.7241379181</v>
      </c>
      <c r="L31" s="40">
        <f>'Oct 21'!$K31/$K$2</f>
        <v>2.7278837421859225E-2</v>
      </c>
      <c r="M31" s="62"/>
    </row>
    <row r="32" spans="1:15" s="2" customFormat="1" ht="25.5" x14ac:dyDescent="0.2">
      <c r="A32" s="34" t="s">
        <v>176</v>
      </c>
      <c r="B32" s="60" t="s">
        <v>124</v>
      </c>
      <c r="C32" s="61" t="s">
        <v>125</v>
      </c>
      <c r="D32" s="35">
        <v>2.9415E-2</v>
      </c>
      <c r="E32" s="36">
        <f>'Oct 21'!$D32*$C$6*$C$2</f>
        <v>4595057.2569297142</v>
      </c>
      <c r="F32" s="36">
        <v>125651.463414634</v>
      </c>
      <c r="G32" s="37">
        <f>'Oct 21'!$E32/'Oct 21'!$F32</f>
        <v>36.569866614021073</v>
      </c>
      <c r="H32" s="34">
        <v>41</v>
      </c>
      <c r="I32" s="34">
        <v>36</v>
      </c>
      <c r="J32" s="38">
        <f t="shared" si="1"/>
        <v>-5</v>
      </c>
      <c r="K32" s="39">
        <f>'Oct 21'!$F32*'Oct 21'!$I32</f>
        <v>4523452.6829268243</v>
      </c>
      <c r="L32" s="40">
        <f>'Oct 21'!$K32/$K$2</f>
        <v>2.6399889946901005E-2</v>
      </c>
      <c r="M32" s="62"/>
    </row>
    <row r="33" spans="1:13" s="2" customFormat="1" ht="25.5" x14ac:dyDescent="0.2">
      <c r="A33" s="34" t="s">
        <v>176</v>
      </c>
      <c r="B33" s="60" t="s">
        <v>127</v>
      </c>
      <c r="C33" s="61" t="s">
        <v>128</v>
      </c>
      <c r="D33" s="35">
        <v>2.9415E-2</v>
      </c>
      <c r="E33" s="36">
        <f>'Oct 21'!$D33*$C$6*$C$2</f>
        <v>4595057.2569297142</v>
      </c>
      <c r="F33" s="36">
        <v>138562.51351351399</v>
      </c>
      <c r="G33" s="37">
        <f>'Oct 21'!$E33/'Oct 21'!$F33</f>
        <v>33.16234052351799</v>
      </c>
      <c r="H33" s="34">
        <v>37</v>
      </c>
      <c r="I33" s="34">
        <v>33</v>
      </c>
      <c r="J33" s="38">
        <f t="shared" si="1"/>
        <v>-4</v>
      </c>
      <c r="K33" s="39">
        <f>'Oct 21'!$F33*'Oct 21'!$I33</f>
        <v>4572562.9459459614</v>
      </c>
      <c r="L33" s="40">
        <f>'Oct 21'!$K33/$K$2</f>
        <v>2.668650851679609E-2</v>
      </c>
      <c r="M33" s="62"/>
    </row>
    <row r="34" spans="1:13" s="2" customFormat="1" ht="25.5" x14ac:dyDescent="0.2">
      <c r="A34" s="34" t="s">
        <v>176</v>
      </c>
      <c r="B34" s="60" t="s">
        <v>135</v>
      </c>
      <c r="C34" s="61" t="s">
        <v>136</v>
      </c>
      <c r="D34" s="35">
        <v>2.9415E-2</v>
      </c>
      <c r="E34" s="36">
        <f>'Oct 21'!$D34*$C$6*$C$2</f>
        <v>4595057.2569297142</v>
      </c>
      <c r="F34" s="36">
        <v>220831</v>
      </c>
      <c r="G34" s="37">
        <f>'Oct 21'!$E34/'Oct 21'!$F34</f>
        <v>20.808026304865322</v>
      </c>
      <c r="H34" s="34">
        <v>23</v>
      </c>
      <c r="I34" s="34">
        <v>21</v>
      </c>
      <c r="J34" s="38">
        <f t="shared" si="1"/>
        <v>-2</v>
      </c>
      <c r="K34" s="39">
        <f>'Oct 21'!$F34*'Oct 21'!$I34</f>
        <v>4637451</v>
      </c>
      <c r="L34" s="40">
        <f>'Oct 21'!$K34/$K$2</f>
        <v>2.7065209833239793E-2</v>
      </c>
      <c r="M34" s="62"/>
    </row>
    <row r="35" spans="1:13" s="43" customFormat="1" ht="25.5" customHeight="1" x14ac:dyDescent="0.25">
      <c r="A35" s="34" t="s">
        <v>177</v>
      </c>
      <c r="B35" s="34" t="s">
        <v>76</v>
      </c>
      <c r="C35" s="34" t="s">
        <v>77</v>
      </c>
      <c r="D35" s="35">
        <v>2.9415E-2</v>
      </c>
      <c r="E35" s="36">
        <f>'Oct 21'!$D35*$C$6*$C$2</f>
        <v>4595057.2569297142</v>
      </c>
      <c r="F35" s="36">
        <v>115388.977272727</v>
      </c>
      <c r="G35" s="37">
        <f>'Oct 21'!$E35/'Oct 21'!$F35</f>
        <v>39.822324155530829</v>
      </c>
      <c r="H35" s="34">
        <v>44</v>
      </c>
      <c r="I35" s="34">
        <v>40</v>
      </c>
      <c r="J35" s="38">
        <f t="shared" si="1"/>
        <v>-4</v>
      </c>
      <c r="K35" s="39">
        <f>'Oct 21'!$F35*'Oct 21'!$I35</f>
        <v>4615559.0909090806</v>
      </c>
      <c r="L35" s="40">
        <f>'Oct 21'!$K35/$K$2</f>
        <v>2.6937443714914026E-2</v>
      </c>
      <c r="M35" s="41"/>
    </row>
    <row r="36" spans="1:13" s="43" customFormat="1" ht="25.5" x14ac:dyDescent="0.25">
      <c r="A36" s="34" t="s">
        <v>177</v>
      </c>
      <c r="B36" s="34" t="s">
        <v>71</v>
      </c>
      <c r="C36" s="34" t="s">
        <v>72</v>
      </c>
      <c r="D36" s="35">
        <v>2.9415E-2</v>
      </c>
      <c r="E36" s="36">
        <f>'Oct 21'!$D36*$C$6*$C$2</f>
        <v>4595057.2569297142</v>
      </c>
      <c r="F36" s="36">
        <v>134620.89473684199</v>
      </c>
      <c r="G36" s="37">
        <f>'Oct 21'!$E36/'Oct 21'!$F36</f>
        <v>34.133313895381313</v>
      </c>
      <c r="H36" s="34">
        <v>38</v>
      </c>
      <c r="I36" s="34">
        <v>34</v>
      </c>
      <c r="J36" s="38">
        <f t="shared" si="1"/>
        <v>-4</v>
      </c>
      <c r="K36" s="39">
        <f>'Oct 21'!$F36*'Oct 21'!$I36</f>
        <v>4577110.4210526273</v>
      </c>
      <c r="L36" s="40">
        <f>'Oct 21'!$K36/$K$2</f>
        <v>2.671304860702526E-2</v>
      </c>
      <c r="M36" s="41"/>
    </row>
    <row r="37" spans="1:13" s="43" customFormat="1" ht="25.5" x14ac:dyDescent="0.25">
      <c r="A37" s="34" t="s">
        <v>177</v>
      </c>
      <c r="B37" s="34" t="s">
        <v>67</v>
      </c>
      <c r="C37" s="34" t="s">
        <v>68</v>
      </c>
      <c r="D37" s="35">
        <v>2.9415E-2</v>
      </c>
      <c r="E37" s="36">
        <f>'Oct 21'!$D37*$C$6*$C$2</f>
        <v>4595057.2569297142</v>
      </c>
      <c r="F37" s="36">
        <v>176819.24137931</v>
      </c>
      <c r="G37" s="37">
        <f>'Oct 21'!$E37/'Oct 21'!$F37</f>
        <v>25.987314621899468</v>
      </c>
      <c r="H37" s="34">
        <v>29</v>
      </c>
      <c r="I37" s="34">
        <v>26</v>
      </c>
      <c r="J37" s="38">
        <f t="shared" si="1"/>
        <v>-3</v>
      </c>
      <c r="K37" s="39">
        <f>'Oct 21'!$F37*'Oct 21'!$I37</f>
        <v>4597300.2758620596</v>
      </c>
      <c r="L37" s="40">
        <f>'Oct 21'!$K37/$K$2</f>
        <v>2.6830881152731925E-2</v>
      </c>
      <c r="M37" s="41"/>
    </row>
    <row r="38" spans="1:13" s="43" customFormat="1" ht="25.5" x14ac:dyDescent="0.25">
      <c r="A38" s="34" t="s">
        <v>177</v>
      </c>
      <c r="B38" s="34" t="s">
        <v>80</v>
      </c>
      <c r="C38" s="34" t="s">
        <v>81</v>
      </c>
      <c r="D38" s="35">
        <v>2.9415E-2</v>
      </c>
      <c r="E38" s="36">
        <f>'Oct 21'!$D38*$C$6*$C$2</f>
        <v>4595057.2569297142</v>
      </c>
      <c r="F38" s="36">
        <v>268373.89473684202</v>
      </c>
      <c r="G38" s="37">
        <f>'Oct 21'!$E38/'Oct 21'!$F38</f>
        <v>17.121848834945236</v>
      </c>
      <c r="H38" s="34">
        <v>19</v>
      </c>
      <c r="I38" s="34">
        <v>17</v>
      </c>
      <c r="J38" s="38">
        <f t="shared" si="1"/>
        <v>-2</v>
      </c>
      <c r="K38" s="39">
        <f>'Oct 21'!$F38*'Oct 21'!$I38</f>
        <v>4562356.2105263146</v>
      </c>
      <c r="L38" s="40">
        <f>'Oct 21'!$K38/$K$2</f>
        <v>2.6626939707153661E-2</v>
      </c>
      <c r="M38" s="41"/>
    </row>
    <row r="39" spans="1:13" s="64" customFormat="1" ht="12.75" x14ac:dyDescent="0.2">
      <c r="A39" s="34"/>
      <c r="B39" s="61"/>
      <c r="C39" s="61"/>
      <c r="D39" s="35"/>
      <c r="E39" s="63"/>
      <c r="F39" s="36"/>
      <c r="G39" s="37"/>
      <c r="H39" s="34"/>
      <c r="I39" s="34"/>
      <c r="J39" s="45"/>
      <c r="K39" s="36"/>
      <c r="L39" s="46"/>
      <c r="M39" s="62"/>
    </row>
    <row r="40" spans="1:13" s="15" customFormat="1" ht="12.75" x14ac:dyDescent="0.2">
      <c r="A40" s="47" t="s">
        <v>182</v>
      </c>
      <c r="B40" s="65"/>
      <c r="C40" s="65"/>
      <c r="D40" s="55">
        <f>SUBTOTAL(9,D29:D39)</f>
        <v>0.29415000000000002</v>
      </c>
      <c r="E40" s="66">
        <f>'Oct 21'!$D40*$C$6*$C$2</f>
        <v>45950572.56929715</v>
      </c>
      <c r="F40" s="67"/>
      <c r="G40" s="68"/>
      <c r="H40" s="54"/>
      <c r="I40" s="54"/>
      <c r="J40" s="58"/>
      <c r="K40" s="66">
        <f>SUM(K29:K39)</f>
        <v>45858637.696469478</v>
      </c>
      <c r="L40" s="69">
        <f>'Oct 21'!$K40/$K$2</f>
        <v>0.26764135123400046</v>
      </c>
      <c r="M40" s="70"/>
    </row>
    <row r="41" spans="1:13" s="64" customFormat="1" ht="12.75" x14ac:dyDescent="0.2">
      <c r="A41" s="34"/>
      <c r="B41" s="61"/>
      <c r="C41" s="61"/>
      <c r="D41" s="35"/>
      <c r="E41" s="63"/>
      <c r="F41" s="36"/>
      <c r="G41" s="37"/>
      <c r="H41" s="34"/>
      <c r="I41" s="34"/>
      <c r="J41" s="45"/>
      <c r="K41" s="36"/>
      <c r="L41" s="40"/>
      <c r="M41" s="62"/>
    </row>
    <row r="42" spans="1:13" s="2" customFormat="1" ht="24.75" customHeight="1" x14ac:dyDescent="0.2">
      <c r="A42" s="34" t="s">
        <v>176</v>
      </c>
      <c r="B42" s="61" t="s">
        <v>183</v>
      </c>
      <c r="C42" s="61" t="s">
        <v>131</v>
      </c>
      <c r="D42" s="35">
        <v>7.1429000000000006E-2</v>
      </c>
      <c r="E42" s="36">
        <f>'Oct 21'!$D42*$C$6*$C$2</f>
        <v>11158264.314303335</v>
      </c>
      <c r="F42" s="36">
        <v>416328.28125</v>
      </c>
      <c r="G42" s="37">
        <f>'Oct 21'!$E42/'Oct 21'!$F42</f>
        <v>26.801600604218706</v>
      </c>
      <c r="H42" s="34">
        <v>32</v>
      </c>
      <c r="I42" s="34">
        <v>32</v>
      </c>
      <c r="J42" s="38">
        <f t="shared" ref="J42:J48" si="2">I42-H42</f>
        <v>0</v>
      </c>
      <c r="K42" s="39">
        <f>'Oct 21'!$F42*'Oct 21'!$I42</f>
        <v>13322505</v>
      </c>
      <c r="L42" s="40">
        <f>'Oct 21'!$K42/$K$2</f>
        <v>7.7753143554376375E-2</v>
      </c>
      <c r="M42" s="62"/>
    </row>
    <row r="43" spans="1:13" s="43" customFormat="1" ht="25.5" x14ac:dyDescent="0.25">
      <c r="A43" s="34" t="s">
        <v>177</v>
      </c>
      <c r="B43" s="34" t="s">
        <v>82</v>
      </c>
      <c r="C43" s="34" t="s">
        <v>83</v>
      </c>
      <c r="D43" s="35">
        <v>7.1429000000000006E-2</v>
      </c>
      <c r="E43" s="36">
        <f>'Oct 21'!$D43*$C$6*$C$2</f>
        <v>11158264.314303335</v>
      </c>
      <c r="F43" s="36">
        <v>249406.245283019</v>
      </c>
      <c r="G43" s="37">
        <f>'Oct 21'!$E43/'Oct 21'!$F43</f>
        <v>44.7393139720349</v>
      </c>
      <c r="H43" s="34">
        <v>53</v>
      </c>
      <c r="I43" s="34">
        <v>53</v>
      </c>
      <c r="J43" s="38">
        <f t="shared" si="2"/>
        <v>0</v>
      </c>
      <c r="K43" s="39">
        <f>'Oct 21'!$F43*'Oct 21'!$I43</f>
        <v>13218531.000000007</v>
      </c>
      <c r="L43" s="40">
        <f>'Oct 21'!$K43/$K$2</f>
        <v>7.7146327843072682E-2</v>
      </c>
      <c r="M43" s="41"/>
    </row>
    <row r="44" spans="1:13" s="43" customFormat="1" ht="25.5" x14ac:dyDescent="0.25">
      <c r="A44" s="34" t="s">
        <v>177</v>
      </c>
      <c r="B44" s="34" t="s">
        <v>184</v>
      </c>
      <c r="C44" s="34" t="s">
        <v>105</v>
      </c>
      <c r="D44" s="35">
        <v>7.1429000000000006E-2</v>
      </c>
      <c r="E44" s="36">
        <f>'Oct 21'!$D44*$C$6*$C$2</f>
        <v>11158264.314303335</v>
      </c>
      <c r="F44" s="36">
        <v>416329.53125</v>
      </c>
      <c r="G44" s="37">
        <f>'Oct 21'!$E44/'Oct 21'!$F44</f>
        <v>26.801520134306674</v>
      </c>
      <c r="H44" s="34">
        <v>32</v>
      </c>
      <c r="I44" s="34">
        <v>32</v>
      </c>
      <c r="J44" s="38">
        <f t="shared" si="2"/>
        <v>0</v>
      </c>
      <c r="K44" s="39">
        <f>'Oct 21'!$F44*'Oct 21'!$I44</f>
        <v>13322545</v>
      </c>
      <c r="L44" s="40">
        <f>'Oct 21'!$K44/$K$2</f>
        <v>7.7753377003396823E-2</v>
      </c>
      <c r="M44" s="41"/>
    </row>
    <row r="45" spans="1:13" s="43" customFormat="1" ht="25.5" x14ac:dyDescent="0.25">
      <c r="A45" s="34" t="s">
        <v>177</v>
      </c>
      <c r="B45" s="34" t="s">
        <v>107</v>
      </c>
      <c r="C45" s="34" t="s">
        <v>108</v>
      </c>
      <c r="D45" s="35">
        <v>7.1429000000000006E-2</v>
      </c>
      <c r="E45" s="36">
        <f>'Oct 21'!$D45*$C$6*$C$2</f>
        <v>11158264.314303335</v>
      </c>
      <c r="F45" s="36">
        <v>249797.81132075499</v>
      </c>
      <c r="G45" s="37">
        <f>'Oct 21'!$E45/'Oct 21'!$F45</f>
        <v>44.669183670210266</v>
      </c>
      <c r="H45" s="34">
        <v>53</v>
      </c>
      <c r="I45" s="34">
        <v>53</v>
      </c>
      <c r="J45" s="38">
        <f t="shared" si="2"/>
        <v>0</v>
      </c>
      <c r="K45" s="39">
        <f>'Oct 21'!$F45*'Oct 21'!$I45</f>
        <v>13239284.000000015</v>
      </c>
      <c r="L45" s="40">
        <f>'Oct 21'!$K45/$K$2</f>
        <v>7.7267447031107106E-2</v>
      </c>
      <c r="M45" s="41"/>
    </row>
    <row r="46" spans="1:13" s="43" customFormat="1" ht="25.5" x14ac:dyDescent="0.25">
      <c r="A46" s="34" t="s">
        <v>177</v>
      </c>
      <c r="B46" s="34" t="s">
        <v>85</v>
      </c>
      <c r="C46" s="34" t="s">
        <v>86</v>
      </c>
      <c r="D46" s="35">
        <v>7.1429000000000006E-2</v>
      </c>
      <c r="E46" s="36">
        <f>'Oct 21'!$D46*$C$6*$C$2</f>
        <v>11158264.314303335</v>
      </c>
      <c r="F46" s="36">
        <v>162933.21951219501</v>
      </c>
      <c r="G46" s="37">
        <f>'Oct 21'!$E46/'Oct 21'!$F46</f>
        <v>68.483666791278111</v>
      </c>
      <c r="H46" s="34">
        <v>82</v>
      </c>
      <c r="I46" s="34">
        <v>82</v>
      </c>
      <c r="J46" s="38">
        <f t="shared" si="2"/>
        <v>0</v>
      </c>
      <c r="K46" s="39">
        <f>'Oct 21'!$F46*'Oct 21'!$I46</f>
        <v>13360523.999999991</v>
      </c>
      <c r="L46" s="40">
        <f>'Oct 21'!$K46/$K$2</f>
        <v>7.7975031012087456E-2</v>
      </c>
      <c r="M46" s="41"/>
    </row>
    <row r="47" spans="1:13" s="43" customFormat="1" ht="25.5" x14ac:dyDescent="0.25">
      <c r="A47" s="34" t="s">
        <v>177</v>
      </c>
      <c r="B47" s="34" t="s">
        <v>186</v>
      </c>
      <c r="C47" s="34" t="s">
        <v>187</v>
      </c>
      <c r="D47" s="35">
        <v>7.1429000000000006E-2</v>
      </c>
      <c r="E47" s="36">
        <f>'Oct 21'!$D47*$C$6*$C$2</f>
        <v>11158264.314303335</v>
      </c>
      <c r="F47" s="36">
        <v>174519.85526315801</v>
      </c>
      <c r="G47" s="37">
        <f>'Oct 21'!$E47/'Oct 21'!$F47</f>
        <v>63.936933121322035</v>
      </c>
      <c r="H47" s="34">
        <v>76</v>
      </c>
      <c r="I47" s="34">
        <v>76</v>
      </c>
      <c r="J47" s="38">
        <f t="shared" si="2"/>
        <v>0</v>
      </c>
      <c r="K47" s="39">
        <f>'Oct 21'!$F47*'Oct 21'!$I47</f>
        <v>13263509.000000009</v>
      </c>
      <c r="L47" s="40">
        <f>'Oct 21'!$K47/$K$2</f>
        <v>7.7408829594116407E-2</v>
      </c>
      <c r="M47" s="41"/>
    </row>
    <row r="48" spans="1:13" s="43" customFormat="1" ht="25.5" x14ac:dyDescent="0.25">
      <c r="A48" s="34" t="s">
        <v>177</v>
      </c>
      <c r="B48" s="34" t="s">
        <v>188</v>
      </c>
      <c r="C48" s="34" t="s">
        <v>189</v>
      </c>
      <c r="D48" s="35">
        <v>7.1429000000000006E-2</v>
      </c>
      <c r="E48" s="36">
        <f>'Oct 21'!$D48*$C$6*$C$2</f>
        <v>11158264.314303335</v>
      </c>
      <c r="F48" s="36">
        <v>708537.52631578897</v>
      </c>
      <c r="G48" s="37">
        <f>'Oct 21'!$E48/'Oct 21'!$F48</f>
        <v>15.748303935746932</v>
      </c>
      <c r="H48" s="34">
        <v>19</v>
      </c>
      <c r="I48" s="34">
        <v>19</v>
      </c>
      <c r="J48" s="38">
        <f t="shared" si="2"/>
        <v>0</v>
      </c>
      <c r="K48" s="39">
        <f>'Oct 21'!$F48*'Oct 21'!$I48</f>
        <v>13462212.999999991</v>
      </c>
      <c r="L48" s="40">
        <f>'Oct 21'!$K48/$K$2</f>
        <v>7.8568510948098066E-2</v>
      </c>
      <c r="M48" s="41"/>
    </row>
    <row r="49" spans="1:16" s="44" customFormat="1" ht="12.75" x14ac:dyDescent="0.25">
      <c r="A49" s="34"/>
      <c r="B49" s="34"/>
      <c r="C49" s="34"/>
      <c r="D49" s="35"/>
      <c r="E49" s="36"/>
      <c r="F49" s="36"/>
      <c r="G49" s="37"/>
      <c r="H49" s="34"/>
      <c r="I49" s="34"/>
      <c r="J49" s="45"/>
      <c r="K49" s="36"/>
      <c r="L49" s="40"/>
      <c r="M49" s="34"/>
    </row>
    <row r="50" spans="1:16" s="53" customFormat="1" ht="25.5" x14ac:dyDescent="0.25">
      <c r="A50" s="47" t="s">
        <v>190</v>
      </c>
      <c r="B50" s="47"/>
      <c r="C50" s="47"/>
      <c r="D50" s="55">
        <f>SUBTOTAL(9,D42:D49)</f>
        <v>0.50000300000000009</v>
      </c>
      <c r="E50" s="49">
        <f>'Oct 21'!$D50*$C$6*$C$2</f>
        <v>78107850.200123355</v>
      </c>
      <c r="F50" s="68"/>
      <c r="G50" s="68"/>
      <c r="H50" s="54"/>
      <c r="I50" s="54"/>
      <c r="J50" s="58"/>
      <c r="K50" s="49">
        <f>SUM(K42:K49)</f>
        <v>93189111.000000015</v>
      </c>
      <c r="L50" s="71">
        <f>'Oct 21'!$K50/$K$2</f>
        <v>0.54387266698625492</v>
      </c>
      <c r="M50" s="47"/>
    </row>
    <row r="51" spans="1:16" s="44" customFormat="1" ht="12.75" x14ac:dyDescent="0.25">
      <c r="A51" s="34"/>
      <c r="B51" s="34"/>
      <c r="C51" s="34"/>
      <c r="D51" s="35"/>
      <c r="E51" s="36"/>
      <c r="F51" s="36"/>
      <c r="G51" s="37"/>
      <c r="H51" s="34"/>
      <c r="I51" s="34"/>
      <c r="J51" s="45"/>
      <c r="K51" s="36"/>
      <c r="L51" s="40"/>
      <c r="M51" s="34"/>
    </row>
    <row r="52" spans="1:16" s="43" customFormat="1" ht="12.75" x14ac:dyDescent="0.25">
      <c r="A52" s="34"/>
      <c r="B52" s="34"/>
      <c r="C52" s="34"/>
      <c r="D52" s="35"/>
      <c r="E52" s="36"/>
      <c r="F52" s="36"/>
      <c r="G52" s="72"/>
      <c r="H52" s="34"/>
      <c r="I52" s="34"/>
      <c r="J52" s="38"/>
      <c r="K52" s="39"/>
      <c r="L52" s="40"/>
      <c r="M52" s="41"/>
    </row>
    <row r="53" spans="1:16" s="43" customFormat="1" ht="25.5" x14ac:dyDescent="0.25">
      <c r="A53" s="34" t="s">
        <v>191</v>
      </c>
      <c r="B53" s="34" t="s">
        <v>63</v>
      </c>
      <c r="C53" s="34" t="s">
        <v>64</v>
      </c>
      <c r="D53" s="35">
        <v>9.810000000000001E-4</v>
      </c>
      <c r="E53" s="36">
        <f>'Oct 21'!$D53*$C$6*$C$2</f>
        <v>153246.68261254634</v>
      </c>
      <c r="F53" s="36">
        <v>46049</v>
      </c>
      <c r="G53" s="72">
        <f>'Oct 21'!$E53/'Oct 21'!$F53</f>
        <v>3.3279046800700631</v>
      </c>
      <c r="H53" s="34">
        <v>4</v>
      </c>
      <c r="I53" s="34">
        <v>3</v>
      </c>
      <c r="J53" s="38">
        <f t="shared" ref="J53:J62" si="3">I53-H53</f>
        <v>-1</v>
      </c>
      <c r="K53" s="39">
        <f>'Oct 21'!$F53*'Oct 21'!$I53</f>
        <v>138147</v>
      </c>
      <c r="L53" s="40">
        <f>'Oct 21'!$K53/$K$2</f>
        <v>8.0625704569872063E-4</v>
      </c>
      <c r="M53" s="41"/>
    </row>
    <row r="54" spans="1:16" s="43" customFormat="1" ht="25.5" x14ac:dyDescent="0.25">
      <c r="A54" s="34" t="s">
        <v>191</v>
      </c>
      <c r="B54" s="34" t="s">
        <v>73</v>
      </c>
      <c r="C54" s="34" t="s">
        <v>74</v>
      </c>
      <c r="D54" s="35">
        <v>9.810000000000001E-4</v>
      </c>
      <c r="E54" s="36">
        <f>'Oct 21'!$D54*$C$6*$C$2</f>
        <v>153246.68261254634</v>
      </c>
      <c r="F54" s="36">
        <v>174266</v>
      </c>
      <c r="G54" s="72">
        <f>'Oct 21'!$E54/'Oct 21'!$F54</f>
        <v>0.87938371577098429</v>
      </c>
      <c r="H54" s="34">
        <v>1</v>
      </c>
      <c r="I54" s="34">
        <v>1</v>
      </c>
      <c r="J54" s="38">
        <f t="shared" si="3"/>
        <v>0</v>
      </c>
      <c r="K54" s="39">
        <f>'Oct 21'!$F54*'Oct 21'!$I54</f>
        <v>174266</v>
      </c>
      <c r="L54" s="40">
        <f>'Oct 21'!$K54/$K$2</f>
        <v>1.0170556749385311E-3</v>
      </c>
      <c r="M54" s="41"/>
      <c r="P54" s="43" t="s">
        <v>194</v>
      </c>
    </row>
    <row r="55" spans="1:16" s="43" customFormat="1" ht="25.5" x14ac:dyDescent="0.25">
      <c r="A55" s="34" t="s">
        <v>191</v>
      </c>
      <c r="B55" s="34" t="s">
        <v>92</v>
      </c>
      <c r="C55" s="34" t="s">
        <v>93</v>
      </c>
      <c r="D55" s="35">
        <v>9.810000000000001E-4</v>
      </c>
      <c r="E55" s="36">
        <f>'Oct 21'!$D55*$C$6*$C$2</f>
        <v>153246.68261254634</v>
      </c>
      <c r="F55" s="36">
        <v>96449.5</v>
      </c>
      <c r="G55" s="72">
        <f>'Oct 21'!$E55/'Oct 21'!$F55</f>
        <v>1.5888800109129269</v>
      </c>
      <c r="H55" s="34">
        <v>2</v>
      </c>
      <c r="I55" s="34">
        <v>2</v>
      </c>
      <c r="J55" s="38">
        <f t="shared" si="3"/>
        <v>0</v>
      </c>
      <c r="K55" s="39">
        <f>'Oct 21'!$F55*'Oct 21'!$I55</f>
        <v>192899</v>
      </c>
      <c r="L55" s="40">
        <f>'Oct 21'!$K55/$K$2</f>
        <v>1.1258020648891218E-3</v>
      </c>
      <c r="M55" s="41"/>
    </row>
    <row r="56" spans="1:16" s="43" customFormat="1" ht="25.5" x14ac:dyDescent="0.25">
      <c r="A56" s="34" t="s">
        <v>191</v>
      </c>
      <c r="B56" s="34" t="s">
        <v>94</v>
      </c>
      <c r="C56" s="34" t="s">
        <v>95</v>
      </c>
      <c r="D56" s="35">
        <v>9.810000000000001E-4</v>
      </c>
      <c r="E56" s="36">
        <f>'Oct 21'!$D56*$C$6*$C$2</f>
        <v>153246.68261254634</v>
      </c>
      <c r="F56" s="36">
        <v>241470</v>
      </c>
      <c r="G56" s="72">
        <f>'Oct 21'!$E56/'Oct 21'!$F56</f>
        <v>0.63464067011449188</v>
      </c>
      <c r="H56" s="34">
        <v>1</v>
      </c>
      <c r="I56" s="34">
        <v>1</v>
      </c>
      <c r="J56" s="38">
        <f t="shared" si="3"/>
        <v>0</v>
      </c>
      <c r="K56" s="39">
        <f>'Oct 21'!$F56*'Oct 21'!$I56</f>
        <v>241470</v>
      </c>
      <c r="L56" s="40">
        <f>'Oct 21'!$K56/$K$2</f>
        <v>1.4092733741946626E-3</v>
      </c>
      <c r="M56" s="41"/>
    </row>
    <row r="57" spans="1:16" s="43" customFormat="1" ht="25.5" x14ac:dyDescent="0.25">
      <c r="A57" s="34" t="s">
        <v>191</v>
      </c>
      <c r="B57" s="34" t="s">
        <v>200</v>
      </c>
      <c r="C57" s="34" t="s">
        <v>99</v>
      </c>
      <c r="D57" s="35">
        <v>9.810000000000001E-4</v>
      </c>
      <c r="E57" s="36">
        <f>'Oct 21'!$D57*$C$6*$C$2</f>
        <v>153246.68261254634</v>
      </c>
      <c r="F57" s="36">
        <v>12149</v>
      </c>
      <c r="G57" s="72">
        <f>'Oct 21'!$E57/'Oct 21'!$F57</f>
        <v>12.613933872133208</v>
      </c>
      <c r="H57" s="34">
        <v>14</v>
      </c>
      <c r="I57" s="34">
        <v>13</v>
      </c>
      <c r="J57" s="38">
        <f t="shared" si="3"/>
        <v>-1</v>
      </c>
      <c r="K57" s="39">
        <f>'Oct 21'!$F57*'Oct 21'!$I57</f>
        <v>157937</v>
      </c>
      <c r="L57" s="40">
        <f>'Oct 21'!$K57/$K$2</f>
        <v>9.2175594856579472E-4</v>
      </c>
      <c r="M57" s="41"/>
    </row>
    <row r="58" spans="1:16" s="43" customFormat="1" ht="25.5" x14ac:dyDescent="0.25">
      <c r="A58" s="34" t="s">
        <v>191</v>
      </c>
      <c r="B58" s="34" t="s">
        <v>101</v>
      </c>
      <c r="C58" s="34" t="s">
        <v>102</v>
      </c>
      <c r="D58" s="35">
        <v>9.810000000000001E-4</v>
      </c>
      <c r="E58" s="36">
        <f>'Oct 21'!$D58*$C$6*$C$2</f>
        <v>153246.68261254634</v>
      </c>
      <c r="F58" s="36">
        <v>93313</v>
      </c>
      <c r="G58" s="72">
        <f>'Oct 21'!$E58/'Oct 21'!$F58</f>
        <v>1.6422865261276172</v>
      </c>
      <c r="H58" s="34">
        <v>2</v>
      </c>
      <c r="I58" s="34">
        <v>2</v>
      </c>
      <c r="J58" s="38">
        <f t="shared" si="3"/>
        <v>0</v>
      </c>
      <c r="K58" s="39">
        <f>'Oct 21'!$F58*'Oct 21'!$I58</f>
        <v>186626</v>
      </c>
      <c r="L58" s="40">
        <f>'Oct 21'!$K58/$K$2</f>
        <v>1.0891914222572292E-3</v>
      </c>
      <c r="M58" s="41"/>
    </row>
    <row r="59" spans="1:16" s="2" customFormat="1" ht="25.5" x14ac:dyDescent="0.2">
      <c r="A59" s="34" t="s">
        <v>191</v>
      </c>
      <c r="B59" s="61" t="s">
        <v>132</v>
      </c>
      <c r="C59" s="61" t="s">
        <v>133</v>
      </c>
      <c r="D59" s="35">
        <v>9.810000000000001E-4</v>
      </c>
      <c r="E59" s="36">
        <f>'Oct 21'!$D59*$C$6*$C$2</f>
        <v>153246.68261254634</v>
      </c>
      <c r="F59" s="36">
        <v>64004.333333333299</v>
      </c>
      <c r="G59" s="72">
        <f>'Oct 21'!$E59/'Oct 21'!$F59</f>
        <v>2.3943173005871441</v>
      </c>
      <c r="H59" s="34">
        <v>3</v>
      </c>
      <c r="I59" s="34">
        <v>2</v>
      </c>
      <c r="J59" s="38">
        <f t="shared" si="3"/>
        <v>-1</v>
      </c>
      <c r="K59" s="39">
        <f>'Oct 21'!$F59*'Oct 21'!$I59</f>
        <v>128008.6666666666</v>
      </c>
      <c r="L59" s="40">
        <f>'Oct 21'!$K59/$K$2</f>
        <v>7.470874460574526E-4</v>
      </c>
      <c r="M59" s="62"/>
    </row>
    <row r="60" spans="1:16" s="43" customFormat="1" ht="25.5" x14ac:dyDescent="0.25">
      <c r="A60" s="34" t="s">
        <v>191</v>
      </c>
      <c r="B60" s="34" t="s">
        <v>89</v>
      </c>
      <c r="C60" s="34" t="s">
        <v>90</v>
      </c>
      <c r="D60" s="35">
        <v>9.810000000000001E-4</v>
      </c>
      <c r="E60" s="36">
        <f>'Oct 21'!$D60*$C$6*$C$2</f>
        <v>153246.68261254634</v>
      </c>
      <c r="F60" s="36">
        <v>33180</v>
      </c>
      <c r="G60" s="72">
        <f>'Oct 21'!$E60/'Oct 21'!$F60</f>
        <v>4.6186462511315955</v>
      </c>
      <c r="H60" s="34">
        <v>5</v>
      </c>
      <c r="I60" s="34">
        <v>5</v>
      </c>
      <c r="J60" s="38">
        <f t="shared" si="3"/>
        <v>0</v>
      </c>
      <c r="K60" s="39">
        <f>'Oct 21'!$F60*'Oct 21'!$I60</f>
        <v>165900</v>
      </c>
      <c r="L60" s="40">
        <f>'Oct 21'!$K60/$K$2</f>
        <v>9.6822981231165168E-4</v>
      </c>
      <c r="M60" s="41"/>
    </row>
    <row r="61" spans="1:16" s="43" customFormat="1" ht="25.5" x14ac:dyDescent="0.25">
      <c r="A61" s="34" t="s">
        <v>191</v>
      </c>
      <c r="B61" s="34" t="s">
        <v>113</v>
      </c>
      <c r="C61" s="34" t="s">
        <v>114</v>
      </c>
      <c r="D61" s="35">
        <v>9.810000000000001E-4</v>
      </c>
      <c r="E61" s="36">
        <f>'Oct 21'!$D61*$C$6*$C$2</f>
        <v>153246.68261254634</v>
      </c>
      <c r="F61" s="36">
        <v>8077.0952380952403</v>
      </c>
      <c r="G61" s="72">
        <f>'Oct 21'!$E61/'Oct 21'!$F61</f>
        <v>18.972994386616314</v>
      </c>
      <c r="H61" s="34">
        <v>21</v>
      </c>
      <c r="I61" s="34">
        <v>19</v>
      </c>
      <c r="J61" s="38">
        <f t="shared" si="3"/>
        <v>-2</v>
      </c>
      <c r="K61" s="39">
        <f>'Oct 21'!$F61*'Oct 21'!$I61</f>
        <v>153464.80952380956</v>
      </c>
      <c r="L61" s="40">
        <f>'Oct 21'!$K61/$K$2</f>
        <v>8.9565523641761007E-4</v>
      </c>
      <c r="M61" s="41"/>
    </row>
    <row r="62" spans="1:16" s="43" customFormat="1" ht="25.5" x14ac:dyDescent="0.25">
      <c r="A62" s="34" t="s">
        <v>191</v>
      </c>
      <c r="B62" s="34" t="s">
        <v>96</v>
      </c>
      <c r="C62" s="34" t="s">
        <v>97</v>
      </c>
      <c r="D62" s="35">
        <v>9.810000000000001E-4</v>
      </c>
      <c r="E62" s="36">
        <f>'Oct 21'!$D62*$C$6*$C$2</f>
        <v>153246.68261254634</v>
      </c>
      <c r="F62" s="36">
        <v>48665.333333333299</v>
      </c>
      <c r="G62" s="72">
        <f>'Oct 21'!$E62/'Oct 21'!$F62</f>
        <v>3.1489907109622135</v>
      </c>
      <c r="H62" s="34">
        <v>3</v>
      </c>
      <c r="I62" s="34">
        <v>3</v>
      </c>
      <c r="J62" s="38">
        <f t="shared" si="3"/>
        <v>0</v>
      </c>
      <c r="K62" s="39">
        <f>'Oct 21'!$F62*'Oct 21'!$I62</f>
        <v>145995.99999999988</v>
      </c>
      <c r="L62" s="40">
        <f>'Oct 21'!$K62/$K$2</f>
        <v>8.5206557973629775E-4</v>
      </c>
      <c r="M62" s="41"/>
    </row>
    <row r="63" spans="1:16" s="43" customFormat="1" ht="12.75" x14ac:dyDescent="0.25">
      <c r="A63" s="34"/>
      <c r="B63" s="34"/>
      <c r="C63" s="34"/>
      <c r="D63" s="35"/>
      <c r="E63" s="36"/>
      <c r="F63" s="36"/>
      <c r="G63" s="37"/>
      <c r="H63" s="34"/>
      <c r="I63" s="34"/>
      <c r="J63" s="41"/>
      <c r="K63" s="39"/>
      <c r="L63" s="40"/>
      <c r="M63" s="41"/>
    </row>
    <row r="64" spans="1:16" s="43" customFormat="1" ht="12.75" x14ac:dyDescent="0.25">
      <c r="A64" s="34"/>
      <c r="B64" s="34"/>
      <c r="C64" s="34"/>
      <c r="D64" s="35"/>
      <c r="E64" s="36"/>
      <c r="F64" s="36"/>
      <c r="G64" s="37"/>
      <c r="H64" s="34"/>
      <c r="I64" s="34"/>
      <c r="J64" s="41"/>
      <c r="K64" s="39"/>
      <c r="L64" s="40"/>
      <c r="M64" s="41"/>
    </row>
    <row r="65" spans="1:13" s="43" customFormat="1" ht="12.75" x14ac:dyDescent="0.25">
      <c r="A65" s="34"/>
      <c r="B65" s="34"/>
      <c r="C65" s="34"/>
      <c r="D65" s="35"/>
      <c r="E65" s="36"/>
      <c r="F65" s="36"/>
      <c r="G65" s="37"/>
      <c r="H65" s="34"/>
      <c r="I65" s="34"/>
      <c r="J65" s="41"/>
      <c r="K65" s="39"/>
      <c r="L65" s="40"/>
      <c r="M65" s="41"/>
    </row>
    <row r="66" spans="1:13" s="15" customFormat="1" ht="12.75" x14ac:dyDescent="0.2">
      <c r="A66" s="47" t="s">
        <v>205</v>
      </c>
      <c r="B66" s="65"/>
      <c r="C66" s="65"/>
      <c r="D66" s="88">
        <f>SUM(D53:D65)</f>
        <v>9.8099999999999993E-3</v>
      </c>
      <c r="E66" s="49">
        <f>SUM(E52:E65)</f>
        <v>1532466.8261254632</v>
      </c>
      <c r="F66" s="68"/>
      <c r="G66" s="68"/>
      <c r="H66" s="65"/>
      <c r="I66" s="65"/>
      <c r="J66" s="47"/>
      <c r="K66" s="49">
        <f>SUM(K52:K65)</f>
        <v>1684714.4761904757</v>
      </c>
      <c r="L66" s="52">
        <f>'Oct 21'!$K66/$K$2</f>
        <v>9.8323736050670695E-3</v>
      </c>
      <c r="M66" s="59"/>
    </row>
    <row r="67" spans="1:13" s="2" customFormat="1" ht="12.75" x14ac:dyDescent="0.2">
      <c r="A67" s="34"/>
      <c r="B67" s="61"/>
      <c r="C67" s="61"/>
      <c r="D67" s="74"/>
      <c r="E67" s="36"/>
      <c r="F67" s="36"/>
      <c r="G67" s="37"/>
      <c r="H67" s="61"/>
      <c r="I67" s="61"/>
      <c r="J67" s="34"/>
      <c r="K67" s="34"/>
      <c r="L67" s="40"/>
      <c r="M67" s="62"/>
    </row>
    <row r="68" spans="1:13" s="43" customFormat="1" ht="25.5" x14ac:dyDescent="0.25">
      <c r="A68" s="47" t="s">
        <v>206</v>
      </c>
      <c r="B68" s="54" t="s">
        <v>118</v>
      </c>
      <c r="C68" s="54" t="s">
        <v>119</v>
      </c>
      <c r="D68" s="55">
        <v>9.7479999999999997E-3</v>
      </c>
      <c r="E68" s="56">
        <f>'Oct 21'!$D68*$C$6*$C$2</f>
        <v>1522781.5108125396</v>
      </c>
      <c r="F68" s="56">
        <v>30195.220338982999</v>
      </c>
      <c r="G68" s="57">
        <f>'Oct 21'!$E68/'Oct 21'!$F68</f>
        <v>50.431210427253603</v>
      </c>
      <c r="H68" s="54">
        <v>59</v>
      </c>
      <c r="I68" s="54">
        <v>50</v>
      </c>
      <c r="J68" s="75">
        <f>I68-H68</f>
        <v>-9</v>
      </c>
      <c r="K68" s="56">
        <f>'Oct 21'!$F68*'Oct 21'!$I68</f>
        <v>1509761.01694915</v>
      </c>
      <c r="L68" s="76">
        <f>'Oct 21'!$K68/$K$2</f>
        <v>8.8113057629663882E-3</v>
      </c>
      <c r="M68" s="54"/>
    </row>
    <row r="69" spans="1:13" s="2" customFormat="1" ht="12.75" x14ac:dyDescent="0.2">
      <c r="A69" s="34"/>
      <c r="B69" s="61"/>
      <c r="C69" s="61"/>
      <c r="D69" s="74"/>
      <c r="E69" s="36"/>
      <c r="F69" s="36"/>
      <c r="G69" s="37"/>
      <c r="H69" s="61"/>
      <c r="I69" s="61"/>
      <c r="J69" s="34"/>
      <c r="K69" s="34"/>
      <c r="L69" s="40"/>
      <c r="M69" s="62"/>
    </row>
    <row r="70" spans="1:13" s="2" customFormat="1" ht="12.75" x14ac:dyDescent="0.2">
      <c r="A70" s="34"/>
      <c r="B70" s="61"/>
      <c r="C70" s="61"/>
      <c r="D70" s="77"/>
      <c r="E70" s="63"/>
      <c r="F70" s="36"/>
      <c r="G70" s="37"/>
      <c r="H70" s="61"/>
      <c r="I70" s="61"/>
      <c r="J70" s="34"/>
      <c r="K70" s="34"/>
      <c r="L70" s="40"/>
      <c r="M70" s="62"/>
    </row>
    <row r="71" spans="1:13" s="15" customFormat="1" ht="12.75" x14ac:dyDescent="0.2">
      <c r="A71" s="47" t="s">
        <v>208</v>
      </c>
      <c r="B71" s="65"/>
      <c r="C71" s="65"/>
      <c r="D71" s="65"/>
      <c r="E71" s="78"/>
      <c r="F71" s="78"/>
      <c r="G71" s="47"/>
      <c r="H71" s="65"/>
      <c r="I71" s="65"/>
      <c r="J71" s="65"/>
      <c r="K71" s="78">
        <f>SUM(K25,K27,K40,K50,K66,K68:K68)</f>
        <v>171343618.93269247</v>
      </c>
      <c r="L71" s="52">
        <f>'Oct 21'!$K71/$K$2</f>
        <v>1</v>
      </c>
      <c r="M71" s="65"/>
    </row>
    <row r="72" spans="1:13" s="2" customFormat="1" ht="12.75" x14ac:dyDescent="0.2">
      <c r="A72" s="62"/>
      <c r="B72" s="62"/>
      <c r="C72" s="62"/>
      <c r="D72" s="79"/>
      <c r="E72" s="80"/>
      <c r="F72" s="36"/>
      <c r="G72" s="81"/>
      <c r="H72" s="62"/>
      <c r="I72" s="62"/>
      <c r="J72" s="62"/>
      <c r="K72" s="62"/>
      <c r="L72" s="40"/>
      <c r="M72" s="62"/>
    </row>
    <row r="73" spans="1:13" s="2" customFormat="1" ht="12.75" x14ac:dyDescent="0.2">
      <c r="A73" s="62"/>
      <c r="B73" s="62"/>
      <c r="C73" s="62"/>
      <c r="D73" s="79"/>
      <c r="E73" s="80"/>
      <c r="F73" s="36"/>
      <c r="G73" s="81"/>
      <c r="H73" s="62"/>
      <c r="I73" s="62"/>
      <c r="J73" s="62"/>
      <c r="K73" s="62"/>
      <c r="L73" s="40"/>
      <c r="M73" s="62"/>
    </row>
    <row r="74" spans="1:13" s="2" customFormat="1" ht="12.75" x14ac:dyDescent="0.2">
      <c r="A74" s="62"/>
      <c r="B74" s="62"/>
      <c r="C74" s="62"/>
      <c r="D74" s="79"/>
      <c r="E74" s="80"/>
      <c r="F74" s="36"/>
      <c r="G74" s="81"/>
      <c r="H74" s="62"/>
      <c r="I74" s="62"/>
      <c r="J74" s="62"/>
      <c r="K74" s="62"/>
      <c r="L74" s="40"/>
      <c r="M74" s="62"/>
    </row>
    <row r="75" spans="1:13" s="2" customFormat="1" ht="12.75" x14ac:dyDescent="0.2">
      <c r="A75" s="62"/>
      <c r="B75" s="62"/>
      <c r="C75" s="62"/>
      <c r="D75" s="79"/>
      <c r="E75" s="80"/>
      <c r="F75" s="36"/>
      <c r="G75" s="81"/>
      <c r="H75" s="62"/>
      <c r="I75" s="62"/>
      <c r="J75" s="62"/>
      <c r="K75" s="62"/>
      <c r="L75" s="40"/>
      <c r="M75" s="62"/>
    </row>
    <row r="76" spans="1:13" s="2" customFormat="1" ht="12.75" x14ac:dyDescent="0.2">
      <c r="A76" s="62"/>
      <c r="B76" s="62"/>
      <c r="C76" s="62"/>
      <c r="D76" s="79"/>
      <c r="E76" s="80"/>
      <c r="F76" s="36"/>
      <c r="G76" s="81"/>
      <c r="H76" s="62"/>
      <c r="I76" s="62"/>
      <c r="J76" s="62"/>
      <c r="K76" s="62"/>
      <c r="L76" s="40"/>
      <c r="M76" s="62"/>
    </row>
    <row r="77" spans="1:13" s="2" customFormat="1" ht="12.75" x14ac:dyDescent="0.2">
      <c r="A77" s="62"/>
      <c r="B77" s="62"/>
      <c r="C77" s="62"/>
      <c r="D77" s="79"/>
      <c r="E77" s="80"/>
      <c r="F77" s="36"/>
      <c r="G77" s="81"/>
      <c r="H77" s="62"/>
      <c r="I77" s="62"/>
      <c r="J77" s="62"/>
      <c r="K77" s="62"/>
      <c r="L77" s="40"/>
      <c r="M77" s="62"/>
    </row>
    <row r="78" spans="1:13" s="2" customFormat="1" ht="12.75" x14ac:dyDescent="0.2">
      <c r="A78" s="62"/>
      <c r="B78" s="62"/>
      <c r="C78" s="62"/>
      <c r="D78" s="79"/>
      <c r="E78" s="80"/>
      <c r="F78" s="36"/>
      <c r="G78" s="81"/>
      <c r="H78" s="62"/>
      <c r="I78" s="62"/>
      <c r="J78" s="62"/>
      <c r="K78" s="62"/>
      <c r="L78" s="40"/>
      <c r="M78" s="62"/>
    </row>
    <row r="79" spans="1:13" s="2" customFormat="1" ht="12.75" x14ac:dyDescent="0.2">
      <c r="A79" s="62"/>
      <c r="B79" s="62"/>
      <c r="C79" s="62"/>
      <c r="D79" s="79"/>
      <c r="E79" s="80"/>
      <c r="F79" s="36"/>
      <c r="G79" s="81"/>
      <c r="H79" s="62"/>
      <c r="I79" s="62"/>
      <c r="J79" s="62"/>
      <c r="K79" s="62"/>
      <c r="L79" s="40"/>
      <c r="M79" s="62"/>
    </row>
    <row r="80" spans="1:13" s="2" customFormat="1" ht="12.75" x14ac:dyDescent="0.2">
      <c r="A80" s="62"/>
      <c r="B80" s="62"/>
      <c r="C80" s="62"/>
      <c r="D80" s="79"/>
      <c r="E80" s="80"/>
      <c r="F80" s="36"/>
      <c r="G80" s="81"/>
      <c r="H80" s="62"/>
      <c r="I80" s="62"/>
      <c r="J80" s="62"/>
      <c r="K80" s="62"/>
      <c r="L80" s="40"/>
      <c r="M80" s="62"/>
    </row>
    <row r="81" spans="1:13" s="2" customFormat="1" ht="12.75" x14ac:dyDescent="0.2"/>
    <row r="82" spans="1:13" s="2" customFormat="1" ht="12.75" x14ac:dyDescent="0.2"/>
    <row r="84" spans="1:13" s="2" customFormat="1" ht="12.75" x14ac:dyDescent="0.2">
      <c r="A84" s="82"/>
      <c r="B84" s="82"/>
      <c r="E84" s="82"/>
      <c r="F84" s="82"/>
      <c r="G84" s="82"/>
      <c r="H84" s="83"/>
      <c r="M84" s="82"/>
    </row>
    <row r="85" spans="1:13" s="2" customFormat="1" ht="12.75" x14ac:dyDescent="0.2">
      <c r="A85" s="82"/>
      <c r="B85" s="82"/>
      <c r="E85" s="82"/>
      <c r="F85" s="82"/>
      <c r="G85" s="82"/>
      <c r="H85" s="83"/>
      <c r="M85" s="82"/>
    </row>
    <row r="86" spans="1:13" s="2" customFormat="1" ht="12.75" x14ac:dyDescent="0.2">
      <c r="A86" s="84"/>
      <c r="B86" s="84"/>
    </row>
    <row r="87" spans="1:13" s="2" customFormat="1" ht="12.75" x14ac:dyDescent="0.2">
      <c r="A87" s="85"/>
      <c r="B87" s="85"/>
      <c r="E87" s="85"/>
      <c r="F87" s="84"/>
      <c r="G87" s="84"/>
      <c r="M87" s="86"/>
    </row>
    <row r="88" spans="1:13" s="2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MH88"/>
  <sheetViews>
    <sheetView zoomScale="125" zoomScaleNormal="125" workbookViewId="0">
      <pane xSplit="2" topLeftCell="C1" activePane="topRight" state="frozen"/>
      <selection pane="topRight" activeCell="J5" sqref="J5"/>
    </sheetView>
  </sheetViews>
  <sheetFormatPr defaultColWidth="9.140625" defaultRowHeight="15" x14ac:dyDescent="0.25"/>
  <cols>
    <col min="1" max="2" width="15.140625" style="2" customWidth="1"/>
    <col min="3" max="3" width="29.28515625" style="2" customWidth="1"/>
    <col min="4" max="4" width="14.85546875" style="2" customWidth="1"/>
    <col min="5" max="5" width="27.42578125" style="2" customWidth="1"/>
    <col min="6" max="7" width="13.7109375" style="2" customWidth="1"/>
    <col min="8" max="8" width="16.5703125" style="2" customWidth="1"/>
    <col min="9" max="9" width="15.5703125" style="2" customWidth="1"/>
    <col min="10" max="10" width="13.42578125" customWidth="1"/>
    <col min="11" max="11" width="23.5703125" customWidth="1"/>
    <col min="12" max="12" width="13.42578125" customWidth="1"/>
    <col min="13" max="13" width="22.5703125" style="2" customWidth="1"/>
    <col min="14" max="16" width="10.85546875" style="2" customWidth="1"/>
    <col min="17" max="17" width="11.28515625" style="2" customWidth="1"/>
    <col min="18" max="1022" width="9.140625" style="2"/>
  </cols>
  <sheetData>
    <row r="1" spans="1:17" s="2" customFormat="1" ht="25.5" x14ac:dyDescent="0.2">
      <c r="A1" s="3"/>
      <c r="B1" s="3" t="s">
        <v>138</v>
      </c>
      <c r="C1" s="4">
        <v>44126</v>
      </c>
      <c r="D1" s="5"/>
      <c r="E1" s="6" t="s">
        <v>139</v>
      </c>
      <c r="F1" s="7"/>
      <c r="G1" s="8"/>
      <c r="K1" s="9" t="s">
        <v>140</v>
      </c>
      <c r="L1" s="9" t="s">
        <v>141</v>
      </c>
      <c r="M1" s="10" t="s">
        <v>142</v>
      </c>
    </row>
    <row r="2" spans="1:17" x14ac:dyDescent="0.25">
      <c r="A2" s="3"/>
      <c r="B2" s="3" t="s">
        <v>143</v>
      </c>
      <c r="C2" s="11">
        <v>8.3439999999999994</v>
      </c>
      <c r="D2" s="12"/>
      <c r="E2" s="13">
        <f>SUM(E25,E40,E50,E66,E27,E68)</f>
        <v>160592858.41312</v>
      </c>
      <c r="F2" s="14"/>
      <c r="G2" s="15"/>
      <c r="H2" s="12"/>
      <c r="I2" s="12"/>
      <c r="J2" s="12"/>
      <c r="K2" s="13">
        <f>SUM(K25,K40,K50,K66,K27,K68:K68)</f>
        <v>173868649.09157905</v>
      </c>
      <c r="L2" s="16">
        <f>SUM(L50,L66,L40,L25,L27,L68)</f>
        <v>1.0000000000000002</v>
      </c>
      <c r="M2" s="17">
        <f>K2/$C$6</f>
        <v>9.0337766097176111</v>
      </c>
      <c r="N2" s="18"/>
    </row>
    <row r="3" spans="1:17" ht="26.25" x14ac:dyDescent="0.25">
      <c r="A3" s="3"/>
      <c r="B3" s="3" t="s">
        <v>144</v>
      </c>
      <c r="C3" s="19">
        <v>19246507.48</v>
      </c>
      <c r="D3" s="20"/>
      <c r="E3" s="6" t="s">
        <v>145</v>
      </c>
      <c r="F3" s="14"/>
      <c r="G3" s="15"/>
      <c r="H3" s="12"/>
      <c r="I3" s="12"/>
      <c r="J3" s="12"/>
      <c r="K3" s="6" t="s">
        <v>145</v>
      </c>
      <c r="L3" s="12"/>
      <c r="M3" s="10" t="s">
        <v>146</v>
      </c>
      <c r="N3" s="21"/>
    </row>
    <row r="4" spans="1:17" x14ac:dyDescent="0.25">
      <c r="A4" s="3"/>
      <c r="B4" s="3" t="s">
        <v>147</v>
      </c>
      <c r="C4" s="19">
        <v>0</v>
      </c>
      <c r="D4" s="20"/>
      <c r="E4" s="13">
        <f>SUM(E25,E66,E27)</f>
        <v>31447935.905890804</v>
      </c>
      <c r="F4" s="14"/>
      <c r="G4" s="15"/>
      <c r="H4" s="12"/>
      <c r="I4" s="12"/>
      <c r="J4" s="12"/>
      <c r="K4" s="13">
        <f>SUM(K25,K27,K66)</f>
        <v>31557955.340834059</v>
      </c>
      <c r="L4" s="12"/>
      <c r="M4" s="17">
        <f>K4/$C$6</f>
        <v>1.6396717884336933</v>
      </c>
      <c r="N4" s="21"/>
    </row>
    <row r="5" spans="1:17" x14ac:dyDescent="0.25">
      <c r="A5" s="3"/>
      <c r="B5" s="3" t="s">
        <v>148</v>
      </c>
      <c r="C5" s="19">
        <v>0</v>
      </c>
      <c r="D5" s="20"/>
      <c r="E5" s="14"/>
      <c r="F5" s="14"/>
      <c r="G5" s="22">
        <f>SUM(D25,D27,D40,D50,D66,D68:D68)</f>
        <v>1</v>
      </c>
      <c r="H5" s="12"/>
      <c r="I5" s="12"/>
      <c r="J5" s="12"/>
      <c r="K5" s="12"/>
      <c r="L5" s="12"/>
      <c r="M5" s="12"/>
      <c r="N5" s="21"/>
    </row>
    <row r="6" spans="1:17" x14ac:dyDescent="0.25">
      <c r="A6" s="3"/>
      <c r="B6" s="3" t="s">
        <v>149</v>
      </c>
      <c r="C6" s="19">
        <f>C3+C4-C5</f>
        <v>19246507.48</v>
      </c>
      <c r="D6" s="20"/>
      <c r="E6" s="14"/>
      <c r="F6" s="14"/>
      <c r="G6" s="15"/>
      <c r="H6" s="12"/>
      <c r="I6" s="12"/>
      <c r="J6" s="12"/>
      <c r="K6" s="12"/>
      <c r="L6" s="12"/>
      <c r="M6" s="12"/>
      <c r="N6" s="21"/>
    </row>
    <row r="7" spans="1:17" x14ac:dyDescent="0.25">
      <c r="A7" s="23"/>
      <c r="B7" s="24"/>
      <c r="C7" s="24"/>
      <c r="D7" s="25"/>
      <c r="E7" s="26"/>
      <c r="F7" s="26"/>
      <c r="G7" s="26"/>
      <c r="H7" s="27"/>
      <c r="I7" s="27"/>
      <c r="J7" s="27"/>
      <c r="K7" s="12"/>
      <c r="L7" s="12"/>
      <c r="M7" s="12"/>
      <c r="N7" s="21"/>
    </row>
    <row r="8" spans="1:17" s="32" customFormat="1" ht="38.25" x14ac:dyDescent="0.2">
      <c r="A8" s="28" t="s">
        <v>150</v>
      </c>
      <c r="B8" s="28" t="s">
        <v>151</v>
      </c>
      <c r="C8" s="29" t="s">
        <v>1</v>
      </c>
      <c r="D8" s="29" t="s">
        <v>152</v>
      </c>
      <c r="E8" s="29" t="s">
        <v>153</v>
      </c>
      <c r="F8" s="29" t="s">
        <v>154</v>
      </c>
      <c r="G8" s="29" t="s">
        <v>155</v>
      </c>
      <c r="H8" s="29" t="s">
        <v>156</v>
      </c>
      <c r="I8" s="29" t="s">
        <v>157</v>
      </c>
      <c r="J8" s="29" t="s">
        <v>158</v>
      </c>
      <c r="K8" s="30" t="s">
        <v>159</v>
      </c>
      <c r="L8" s="30" t="s">
        <v>160</v>
      </c>
      <c r="M8" s="30" t="s">
        <v>161</v>
      </c>
      <c r="N8" s="31"/>
      <c r="Q8" s="33"/>
    </row>
    <row r="9" spans="1:17" s="43" customFormat="1" ht="12.75" x14ac:dyDescent="0.25">
      <c r="A9" s="34" t="s">
        <v>162</v>
      </c>
      <c r="B9" s="34" t="s">
        <v>46</v>
      </c>
      <c r="C9" s="34" t="s">
        <v>47</v>
      </c>
      <c r="D9" s="35">
        <v>1.2803999999999999E-2</v>
      </c>
      <c r="E9" s="36">
        <f>'Oct 22'!$D9*$C$6*$C$2</f>
        <v>2056230.9591215884</v>
      </c>
      <c r="F9" s="36">
        <v>539.909926967812</v>
      </c>
      <c r="G9" s="37">
        <f>'Oct 22'!$E9/'Oct 22'!$F9</f>
        <v>3808.4703696218116</v>
      </c>
      <c r="H9" s="34">
        <v>3697</v>
      </c>
      <c r="I9" s="34">
        <f>ROUND(Table13895845679910111213144562678910111213141516171819202134567891011121314151617[[#This Row],[Target Quantity]],0)</f>
        <v>3808</v>
      </c>
      <c r="J9" s="38">
        <f t="shared" ref="J9:J23" si="0">I9-H9</f>
        <v>111</v>
      </c>
      <c r="K9" s="39">
        <f>'Oct 22'!$F9*'Oct 22'!$I9</f>
        <v>2055977.0018934282</v>
      </c>
      <c r="L9" s="40">
        <f>'Oct 22'!$K9/$K$2</f>
        <v>1.1824886272685747E-2</v>
      </c>
      <c r="M9" s="41"/>
      <c r="N9" s="42"/>
      <c r="O9" s="87"/>
    </row>
    <row r="10" spans="1:17" s="43" customFormat="1" ht="12.75" customHeight="1" x14ac:dyDescent="0.25">
      <c r="A10" s="34" t="s">
        <v>162</v>
      </c>
      <c r="B10" s="34" t="s">
        <v>55</v>
      </c>
      <c r="C10" s="34" t="s">
        <v>56</v>
      </c>
      <c r="D10" s="35">
        <v>1.2803999999999999E-2</v>
      </c>
      <c r="E10" s="36">
        <f>'Oct 22'!$D10*$C$6*$C$2</f>
        <v>2056230.9591215884</v>
      </c>
      <c r="F10" s="36">
        <v>441.89991571849998</v>
      </c>
      <c r="G10" s="37">
        <f>'Oct 22'!$E10/'Oct 22'!$F10</f>
        <v>4653.1598807351957</v>
      </c>
      <c r="H10" s="34">
        <v>4746</v>
      </c>
      <c r="I10" s="34">
        <f>ROUND(Table13895845679910111213144562678910111213141516171819202134567891011121314151617[[#This Row],[Target Quantity]],0)</f>
        <v>4653</v>
      </c>
      <c r="J10" s="38">
        <f t="shared" si="0"/>
        <v>-93</v>
      </c>
      <c r="K10" s="39">
        <f>'Oct 22'!$F10*'Oct 22'!$I10</f>
        <v>2056160.3078381803</v>
      </c>
      <c r="L10" s="40">
        <f>'Oct 22'!$K10/$K$2</f>
        <v>1.1825940550991294E-2</v>
      </c>
      <c r="M10" s="41"/>
    </row>
    <row r="11" spans="1:17" s="43" customFormat="1" ht="12.75" customHeight="1" x14ac:dyDescent="0.25">
      <c r="A11" s="34" t="s">
        <v>162</v>
      </c>
      <c r="B11" s="34" t="s">
        <v>37</v>
      </c>
      <c r="C11" s="34" t="s">
        <v>38</v>
      </c>
      <c r="D11" s="35">
        <v>1.2803999999999999E-2</v>
      </c>
      <c r="E11" s="36">
        <f>'Oct 22'!$D11*$C$6*$C$2</f>
        <v>2056230.9591215884</v>
      </c>
      <c r="F11" s="36">
        <v>82.799991740315505</v>
      </c>
      <c r="G11" s="37">
        <f>'Oct 22'!$E11/'Oct 22'!$F11</f>
        <v>24833.709713045839</v>
      </c>
      <c r="H11" s="34">
        <v>24214</v>
      </c>
      <c r="I11" s="34">
        <f>ROUND(Table13895845679910111213144562678910111213141516171819202134567891011121314151617[[#This Row],[Target Quantity]],0)</f>
        <v>24834</v>
      </c>
      <c r="J11" s="38">
        <f t="shared" si="0"/>
        <v>620</v>
      </c>
      <c r="K11" s="39">
        <f>'Oct 22'!$F11*'Oct 22'!$I11</f>
        <v>2056254.9948789952</v>
      </c>
      <c r="L11" s="40">
        <f>'Oct 22'!$K11/$K$2</f>
        <v>1.1826485140492102E-2</v>
      </c>
      <c r="M11" s="41"/>
    </row>
    <row r="12" spans="1:17" s="44" customFormat="1" ht="12.75" customHeight="1" x14ac:dyDescent="0.25">
      <c r="A12" s="34" t="s">
        <v>162</v>
      </c>
      <c r="B12" s="34" t="s">
        <v>23</v>
      </c>
      <c r="C12" s="34" t="s">
        <v>24</v>
      </c>
      <c r="D12" s="35">
        <v>1.2803999999999999E-2</v>
      </c>
      <c r="E12" s="36">
        <f>'Oct 22'!$D12*$C$6*$C$2</f>
        <v>2056230.9591215884</v>
      </c>
      <c r="F12" s="36">
        <v>218.11994138203099</v>
      </c>
      <c r="G12" s="37">
        <f>'Oct 22'!$E12/'Oct 22'!$F12</f>
        <v>9427.065430574994</v>
      </c>
      <c r="H12" s="34">
        <v>8871</v>
      </c>
      <c r="I12" s="34">
        <f>ROUND(Table13895845679910111213144562678910111213141516171819202134567891011121314151617[[#This Row],[Target Quantity]],0)</f>
        <v>9427</v>
      </c>
      <c r="J12" s="38">
        <f t="shared" si="0"/>
        <v>556</v>
      </c>
      <c r="K12" s="39">
        <f>'Oct 22'!$F12*'Oct 22'!$I12</f>
        <v>2056216.6874084061</v>
      </c>
      <c r="L12" s="40">
        <f>'Oct 22'!$K12/$K$2</f>
        <v>1.1826264816294558E-2</v>
      </c>
      <c r="M12" s="34"/>
    </row>
    <row r="13" spans="1:17" s="44" customFormat="1" ht="12.75" customHeight="1" x14ac:dyDescent="0.25">
      <c r="A13" s="34" t="s">
        <v>162</v>
      </c>
      <c r="B13" s="34" t="s">
        <v>60</v>
      </c>
      <c r="C13" s="34" t="s">
        <v>61</v>
      </c>
      <c r="D13" s="35">
        <v>1.2803999999999999E-2</v>
      </c>
      <c r="E13" s="36">
        <f>'Oct 22'!$D13*$C$6*$C$2</f>
        <v>2056230.9591215884</v>
      </c>
      <c r="F13" s="36">
        <v>511.75997871208102</v>
      </c>
      <c r="G13" s="37">
        <f>'Oct 22'!$E13/'Oct 22'!$F13</f>
        <v>4017.9596776918643</v>
      </c>
      <c r="H13" s="34">
        <v>3758</v>
      </c>
      <c r="I13" s="34">
        <f>ROUND(Table13895845679910111213144562678910111213141516171819202134567891011121314151617[[#This Row],[Target Quantity]],0)</f>
        <v>4018</v>
      </c>
      <c r="J13" s="38">
        <f t="shared" si="0"/>
        <v>260</v>
      </c>
      <c r="K13" s="39">
        <f>'Oct 22'!$F13*'Oct 22'!$I13</f>
        <v>2056251.5944651417</v>
      </c>
      <c r="L13" s="40">
        <f>'Oct 22'!$K13/$K$2</f>
        <v>1.1826465583120078E-2</v>
      </c>
      <c r="M13" s="34"/>
    </row>
    <row r="14" spans="1:17" s="44" customFormat="1" ht="12.75" customHeight="1" x14ac:dyDescent="0.25">
      <c r="A14" s="34" t="s">
        <v>162</v>
      </c>
      <c r="B14" s="34" t="s">
        <v>165</v>
      </c>
      <c r="C14" s="34" t="s">
        <v>166</v>
      </c>
      <c r="D14" s="35">
        <v>1.2803999999999999E-2</v>
      </c>
      <c r="E14" s="36">
        <f>'Oct 22'!$D14*$C$6*$C$2</f>
        <v>2056230.9591215884</v>
      </c>
      <c r="F14" s="36">
        <v>284.42005730659002</v>
      </c>
      <c r="G14" s="37">
        <f>'Oct 22'!$E14/'Oct 22'!$F14</f>
        <v>7229.5567991714397</v>
      </c>
      <c r="H14" s="34">
        <v>6980</v>
      </c>
      <c r="I14" s="34">
        <f>ROUND(Table13895845679910111213144562678910111213141516171819202134567891011121314151617[[#This Row],[Target Quantity]],0)</f>
        <v>7230</v>
      </c>
      <c r="J14" s="38">
        <f t="shared" si="0"/>
        <v>250</v>
      </c>
      <c r="K14" s="39">
        <f>'Oct 22'!$F14*'Oct 22'!$I14</f>
        <v>2056357.014326646</v>
      </c>
      <c r="L14" s="40">
        <f>'Oct 22'!$K14/$K$2</f>
        <v>1.1827071902097393E-2</v>
      </c>
      <c r="M14" s="34"/>
    </row>
    <row r="15" spans="1:17" s="44" customFormat="1" ht="12.75" customHeight="1" x14ac:dyDescent="0.25">
      <c r="A15" s="34" t="s">
        <v>162</v>
      </c>
      <c r="B15" s="34" t="s">
        <v>43</v>
      </c>
      <c r="C15" s="34" t="s">
        <v>44</v>
      </c>
      <c r="D15" s="35">
        <v>1.2803999999999999E-2</v>
      </c>
      <c r="E15" s="36">
        <f>'Oct 22'!$D15*$C$6*$C$2</f>
        <v>2056230.9591215884</v>
      </c>
      <c r="F15" s="36">
        <v>1299.1302887844199</v>
      </c>
      <c r="G15" s="37">
        <f>'Oct 22'!$E15/'Oct 22'!$F15</f>
        <v>1582.7750125397954</v>
      </c>
      <c r="H15" s="34">
        <v>1489</v>
      </c>
      <c r="I15" s="34">
        <f>ROUND(Table13895845679910111213144562678910111213141516171819202134567891011121314151617[[#This Row],[Target Quantity]],0)</f>
        <v>1583</v>
      </c>
      <c r="J15" s="38">
        <f t="shared" si="0"/>
        <v>94</v>
      </c>
      <c r="K15" s="39">
        <f>'Oct 22'!$F15*'Oct 22'!$I15</f>
        <v>2056523.2471457368</v>
      </c>
      <c r="L15" s="40">
        <f>'Oct 22'!$K15/$K$2</f>
        <v>1.1828027984864237E-2</v>
      </c>
      <c r="M15" s="34"/>
    </row>
    <row r="16" spans="1:17" s="44" customFormat="1" ht="12.75" customHeight="1" x14ac:dyDescent="0.25">
      <c r="A16" s="34" t="s">
        <v>162</v>
      </c>
      <c r="B16" s="34" t="s">
        <v>167</v>
      </c>
      <c r="C16" s="34" t="s">
        <v>168</v>
      </c>
      <c r="D16" s="35">
        <v>1.2803999999999999E-2</v>
      </c>
      <c r="E16" s="36">
        <f>'Oct 22'!$D16*$C$6*$C$2</f>
        <v>2056230.9591215884</v>
      </c>
      <c r="F16" s="36">
        <v>172.73002706714399</v>
      </c>
      <c r="G16" s="37">
        <f>'Oct 22'!$E16/'Oct 22'!$F16</f>
        <v>11904.305198321343</v>
      </c>
      <c r="H16" s="34">
        <v>11453</v>
      </c>
      <c r="I16" s="34">
        <f>ROUND(Table13895845679910111213144562678910111213141516171819202134567891011121314151617[[#This Row],[Target Quantity]],0)</f>
        <v>11904</v>
      </c>
      <c r="J16" s="38">
        <f t="shared" si="0"/>
        <v>451</v>
      </c>
      <c r="K16" s="39">
        <f>'Oct 22'!$F16*'Oct 22'!$I16</f>
        <v>2056178.242207282</v>
      </c>
      <c r="L16" s="40">
        <f>'Oct 22'!$K16/$K$2</f>
        <v>1.1826043699944227E-2</v>
      </c>
      <c r="M16" s="34"/>
    </row>
    <row r="17" spans="1:15" s="44" customFormat="1" ht="12.75" customHeight="1" x14ac:dyDescent="0.25">
      <c r="A17" s="34" t="s">
        <v>162</v>
      </c>
      <c r="B17" s="34" t="s">
        <v>28</v>
      </c>
      <c r="C17" s="34" t="s">
        <v>29</v>
      </c>
      <c r="D17" s="35">
        <v>1.2803999999999999E-2</v>
      </c>
      <c r="E17" s="36">
        <f>'Oct 22'!$D17*$C$6*$C$2</f>
        <v>2056230.9591215884</v>
      </c>
      <c r="F17" s="36">
        <v>282.28002284735101</v>
      </c>
      <c r="G17" s="37">
        <f>'Oct 22'!$E17/'Oct 22'!$F17</f>
        <v>7284.3658519665751</v>
      </c>
      <c r="H17" s="34">
        <v>7003</v>
      </c>
      <c r="I17" s="34">
        <f>ROUND(Table13895845679910111213144562678910111213141516171819202134567891011121314151617[[#This Row],[Target Quantity]],0)</f>
        <v>7284</v>
      </c>
      <c r="J17" s="38">
        <f t="shared" si="0"/>
        <v>281</v>
      </c>
      <c r="K17" s="39">
        <f>'Oct 22'!$F17*'Oct 22'!$I17</f>
        <v>2056127.6864201047</v>
      </c>
      <c r="L17" s="40">
        <f>'Oct 22'!$K17/$K$2</f>
        <v>1.1825752929943761E-2</v>
      </c>
      <c r="M17" s="34"/>
    </row>
    <row r="18" spans="1:15" s="44" customFormat="1" ht="12.75" customHeight="1" x14ac:dyDescent="0.25">
      <c r="A18" s="34" t="s">
        <v>162</v>
      </c>
      <c r="B18" s="34" t="s">
        <v>19</v>
      </c>
      <c r="C18" s="34" t="s">
        <v>20</v>
      </c>
      <c r="D18" s="35">
        <v>1.2803999999999999E-2</v>
      </c>
      <c r="E18" s="36">
        <f>'Oct 22'!$D18*$C$6*$C$2</f>
        <v>2056230.9591215884</v>
      </c>
      <c r="F18" s="36">
        <v>1328.2</v>
      </c>
      <c r="G18" s="37">
        <f>'Oct 22'!$E18/'Oct 22'!$F18</f>
        <v>1548.1335334449543</v>
      </c>
      <c r="H18" s="34">
        <v>1485</v>
      </c>
      <c r="I18" s="34">
        <f>ROUND(Table13895845679910111213144562678910111213141516171819202134567891011121314151617[[#This Row],[Target Quantity]],0)</f>
        <v>1548</v>
      </c>
      <c r="J18" s="38">
        <f t="shared" si="0"/>
        <v>63</v>
      </c>
      <c r="K18" s="39">
        <f>'Oct 22'!$F18*'Oct 22'!$I18</f>
        <v>2056053.6</v>
      </c>
      <c r="L18" s="40">
        <f>'Oct 22'!$K18/$K$2</f>
        <v>1.1825326824257132E-2</v>
      </c>
      <c r="M18" s="34"/>
    </row>
    <row r="19" spans="1:15" s="44" customFormat="1" ht="12.75" customHeight="1" x14ac:dyDescent="0.25">
      <c r="A19" s="34" t="s">
        <v>162</v>
      </c>
      <c r="B19" s="34" t="s">
        <v>25</v>
      </c>
      <c r="C19" s="34" t="s">
        <v>26</v>
      </c>
      <c r="D19" s="35">
        <v>6.4019999999999997E-3</v>
      </c>
      <c r="E19" s="36">
        <f>'Oct 22'!$D19*$C$6*$C$2</f>
        <v>1028115.4795607942</v>
      </c>
      <c r="F19" s="36">
        <v>17.719999293061399</v>
      </c>
      <c r="G19" s="37">
        <f>'Oct 22'!$E19/'Oct 22'!$F19</f>
        <v>58020.063238003189</v>
      </c>
      <c r="H19" s="34">
        <v>56582</v>
      </c>
      <c r="I19" s="34">
        <f>ROUND(Table13895845679910111213144562678910111213141516171819202134567891011121314151617[[#This Row],[Target Quantity]],0)</f>
        <v>58020</v>
      </c>
      <c r="J19" s="38">
        <f t="shared" si="0"/>
        <v>1438</v>
      </c>
      <c r="K19" s="39">
        <f>'Oct 22'!$F19*'Oct 22'!$I19</f>
        <v>1028114.3589834224</v>
      </c>
      <c r="L19" s="40">
        <f>'Oct 22'!$K19/$K$2</f>
        <v>5.9131670048342081E-3</v>
      </c>
      <c r="M19" s="34"/>
    </row>
    <row r="20" spans="1:15" s="44" customFormat="1" ht="12.75" customHeight="1" x14ac:dyDescent="0.25">
      <c r="A20" s="34" t="s">
        <v>162</v>
      </c>
      <c r="B20" s="34" t="s">
        <v>214</v>
      </c>
      <c r="C20" s="34" t="s">
        <v>215</v>
      </c>
      <c r="D20" s="35">
        <v>6.4019999999999997E-3</v>
      </c>
      <c r="E20" s="36">
        <f>'Oct 22'!$D20*$C$6*$C$2</f>
        <v>1028115.4795607942</v>
      </c>
      <c r="F20" s="36">
        <v>80.089986693280096</v>
      </c>
      <c r="G20" s="37">
        <f>'Oct 22'!$E20/'Oct 22'!$F20</f>
        <v>12837.004000239865</v>
      </c>
      <c r="H20" s="34">
        <v>12024</v>
      </c>
      <c r="I20" s="34">
        <f>ROUND(Table13895845679910111213144562678910111213141516171819202134567891011121314151617[[#This Row],[Target Quantity]],0)</f>
        <v>12837</v>
      </c>
      <c r="J20" s="38">
        <f t="shared" si="0"/>
        <v>813</v>
      </c>
      <c r="K20" s="39">
        <f>'Oct 22'!$F20*'Oct 22'!$I20</f>
        <v>1028115.1591816366</v>
      </c>
      <c r="L20" s="40">
        <f>'Oct 22'!$K20/$K$2</f>
        <v>5.9131716071487619E-3</v>
      </c>
      <c r="M20" s="34"/>
    </row>
    <row r="21" spans="1:15" s="44" customFormat="1" ht="12.75" customHeight="1" x14ac:dyDescent="0.25">
      <c r="A21" s="34" t="s">
        <v>162</v>
      </c>
      <c r="B21" s="34" t="s">
        <v>216</v>
      </c>
      <c r="C21" s="34" t="s">
        <v>217</v>
      </c>
      <c r="D21" s="35">
        <v>6.4019999999999997E-3</v>
      </c>
      <c r="E21" s="36">
        <f>'Oct 22'!$D21*$C$6*$C$2</f>
        <v>1028115.4795607942</v>
      </c>
      <c r="F21" s="36">
        <v>73.110024449877798</v>
      </c>
      <c r="G21" s="37">
        <f>'Oct 22'!$E21/'Oct 22'!$F21</f>
        <v>14062.578795410493</v>
      </c>
      <c r="H21" s="34">
        <v>13088</v>
      </c>
      <c r="I21" s="34">
        <f>ROUND(Table13895845679910111213144562678910111213141516171819202134567891011121314151617[[#This Row],[Target Quantity]],0)</f>
        <v>14063</v>
      </c>
      <c r="J21" s="38">
        <f t="shared" si="0"/>
        <v>975</v>
      </c>
      <c r="K21" s="39">
        <f>'Oct 22'!$F21*'Oct 22'!$I21</f>
        <v>1028146.2738386315</v>
      </c>
      <c r="L21" s="40">
        <f>'Oct 22'!$K21/$K$2</f>
        <v>5.9133505621079075E-3</v>
      </c>
      <c r="M21" s="34"/>
    </row>
    <row r="22" spans="1:15" s="44" customFormat="1" ht="12.75" customHeight="1" x14ac:dyDescent="0.25">
      <c r="A22" s="34" t="s">
        <v>162</v>
      </c>
      <c r="B22" s="34" t="s">
        <v>218</v>
      </c>
      <c r="C22" s="34" t="s">
        <v>219</v>
      </c>
      <c r="D22" s="35">
        <v>1.2803999999999999E-2</v>
      </c>
      <c r="E22" s="36">
        <f>'Oct 22'!$D22*$C$6*$C$2</f>
        <v>2056230.9591215884</v>
      </c>
      <c r="F22" s="36">
        <v>174.50004420475599</v>
      </c>
      <c r="G22" s="37">
        <f>'Oct 22'!$E22/'Oct 22'!$F22</f>
        <v>11783.555519956401</v>
      </c>
      <c r="H22" s="34">
        <v>11311</v>
      </c>
      <c r="I22" s="34">
        <f>ROUND(Table13895845679910111213144562678910111213141516171819202134567891011121314151617[[#This Row],[Target Quantity]],0)</f>
        <v>11784</v>
      </c>
      <c r="J22" s="38">
        <f t="shared" si="0"/>
        <v>473</v>
      </c>
      <c r="K22" s="39">
        <f>'Oct 22'!$F22*'Oct 22'!$I22</f>
        <v>2056308.5209088447</v>
      </c>
      <c r="L22" s="40">
        <f>'Oct 22'!$K22/$K$2</f>
        <v>1.1826792993748735E-2</v>
      </c>
      <c r="M22" s="34"/>
    </row>
    <row r="23" spans="1:15" s="44" customFormat="1" ht="12.75" customHeight="1" x14ac:dyDescent="0.25">
      <c r="A23" s="34" t="s">
        <v>162</v>
      </c>
      <c r="B23" s="34" t="s">
        <v>40</v>
      </c>
      <c r="C23" s="34" t="s">
        <v>41</v>
      </c>
      <c r="D23" s="35">
        <v>6.4019999999999997E-3</v>
      </c>
      <c r="E23" s="36">
        <f>'Oct 22'!$D23*$C$6*$C$2</f>
        <v>1028115.4795607942</v>
      </c>
      <c r="F23" s="36">
        <v>32.179988216810699</v>
      </c>
      <c r="G23" s="37">
        <f>'Oct 22'!$E23/'Oct 22'!$F23</f>
        <v>31948.907893748412</v>
      </c>
      <c r="H23" s="34">
        <v>30552</v>
      </c>
      <c r="I23" s="34">
        <f>ROUND(Table13895845679910111213144562678910111213141516171819202134567891011121314151617[[#This Row],[Target Quantity]],0)</f>
        <v>31949</v>
      </c>
      <c r="J23" s="38">
        <f t="shared" si="0"/>
        <v>1397</v>
      </c>
      <c r="K23" s="39">
        <f>'Oct 22'!$F23*'Oct 22'!$I23</f>
        <v>1028118.443538885</v>
      </c>
      <c r="L23" s="40">
        <f>'Oct 22'!$K23/$K$2</f>
        <v>5.9131904970249156E-3</v>
      </c>
      <c r="M23" s="34"/>
    </row>
    <row r="24" spans="1:15" s="44" customFormat="1" ht="12.75" customHeight="1" x14ac:dyDescent="0.25">
      <c r="A24" s="34"/>
      <c r="B24" s="34"/>
      <c r="C24" s="34"/>
      <c r="D24" s="35"/>
      <c r="E24" s="36"/>
      <c r="F24" s="36"/>
      <c r="G24" s="37"/>
      <c r="H24" s="34"/>
      <c r="I24" s="34"/>
      <c r="J24" s="45"/>
      <c r="K24" s="36"/>
      <c r="L24" s="46"/>
      <c r="M24" s="34"/>
    </row>
    <row r="25" spans="1:15" s="53" customFormat="1" ht="12.75" customHeight="1" x14ac:dyDescent="0.25">
      <c r="A25" s="47" t="s">
        <v>175</v>
      </c>
      <c r="B25" s="47"/>
      <c r="C25" s="47"/>
      <c r="D25" s="48">
        <f>SUM(D9:D24)</f>
        <v>0.16645199999999996</v>
      </c>
      <c r="E25" s="49">
        <f>'Oct 22'!$D25*$C$6*$C$2</f>
        <v>26731002.468580645</v>
      </c>
      <c r="F25" s="50"/>
      <c r="G25" s="50"/>
      <c r="H25" s="47"/>
      <c r="I25" s="47"/>
      <c r="J25" s="51"/>
      <c r="K25" s="49">
        <f>SUM(K9:K24)</f>
        <v>26730903.133035339</v>
      </c>
      <c r="L25" s="52">
        <f>'Oct 22'!$K25/$K$2</f>
        <v>0.15374193836955505</v>
      </c>
      <c r="M25" s="47"/>
    </row>
    <row r="26" spans="1:15" s="44" customFormat="1" ht="12.75" customHeight="1" x14ac:dyDescent="0.25">
      <c r="A26" s="34"/>
      <c r="B26" s="34"/>
      <c r="C26" s="34"/>
      <c r="D26" s="35"/>
      <c r="E26" s="36"/>
      <c r="F26" s="36"/>
      <c r="G26" s="37"/>
      <c r="H26" s="34"/>
      <c r="I26" s="34"/>
      <c r="J26" s="45"/>
      <c r="K26" s="36"/>
      <c r="L26" s="40"/>
      <c r="M26" s="34"/>
    </row>
    <row r="27" spans="1:15" s="43" customFormat="1" ht="12.75" customHeight="1" x14ac:dyDescent="0.25">
      <c r="A27" s="54"/>
      <c r="B27" s="47" t="s">
        <v>34</v>
      </c>
      <c r="C27" s="54" t="s">
        <v>35</v>
      </c>
      <c r="D27" s="55">
        <v>1.9581999999999999E-2</v>
      </c>
      <c r="E27" s="56">
        <f>'Oct 22'!$D27*$C$6*$C$2</f>
        <v>3144729.3534457157</v>
      </c>
      <c r="F27" s="50">
        <v>18.300001791162401</v>
      </c>
      <c r="G27" s="57">
        <f>'Oct 22'!$E27/'Oct 22'!$F27</f>
        <v>171843.11724845821</v>
      </c>
      <c r="H27" s="54">
        <v>167489</v>
      </c>
      <c r="I27" s="54">
        <f>ROUND(Table13895845679910111213144562678910111213141516171819202134567891011121314151617[[#This Row],[Target Quantity]],0)</f>
        <v>171843</v>
      </c>
      <c r="J27" s="58">
        <f>I27-H27</f>
        <v>4354</v>
      </c>
      <c r="K27" s="59">
        <f>'Oct 22'!$F27*'Oct 22'!$I27</f>
        <v>3144727.2077987203</v>
      </c>
      <c r="L27" s="52">
        <f>'Oct 22'!$K27/$K$2</f>
        <v>1.8086798420699459E-2</v>
      </c>
      <c r="M27" s="47"/>
      <c r="O27" s="42"/>
    </row>
    <row r="28" spans="1:15" s="43" customFormat="1" ht="12.75" customHeight="1" x14ac:dyDescent="0.25">
      <c r="A28" s="34"/>
      <c r="B28" s="34"/>
      <c r="C28" s="34"/>
      <c r="D28" s="35"/>
      <c r="E28" s="36"/>
      <c r="F28" s="36"/>
      <c r="G28" s="37"/>
      <c r="H28" s="34"/>
      <c r="I28" s="34"/>
      <c r="J28" s="45"/>
      <c r="K28" s="39"/>
      <c r="L28" s="40"/>
      <c r="M28" s="34"/>
      <c r="O28" s="42"/>
    </row>
    <row r="29" spans="1:15" s="2" customFormat="1" ht="25.5" x14ac:dyDescent="0.2">
      <c r="A29" s="34" t="s">
        <v>176</v>
      </c>
      <c r="B29" s="60" t="s">
        <v>109</v>
      </c>
      <c r="C29" s="61" t="s">
        <v>110</v>
      </c>
      <c r="D29" s="35">
        <v>2.9373E-2</v>
      </c>
      <c r="E29" s="36">
        <f>'Oct 22'!$D29*$C$6*$C$2</f>
        <v>4717094.0301685734</v>
      </c>
      <c r="F29" s="36">
        <v>157896.27586206899</v>
      </c>
      <c r="G29" s="37">
        <f>'Oct 22'!$E29/'Oct 22'!$F29</f>
        <v>29.874637665863712</v>
      </c>
      <c r="H29" s="34">
        <v>29</v>
      </c>
      <c r="I29" s="34">
        <v>30</v>
      </c>
      <c r="J29" s="38">
        <f t="shared" ref="J29:J38" si="1">I29-H29</f>
        <v>1</v>
      </c>
      <c r="K29" s="39">
        <f>'Oct 22'!$F29*'Oct 22'!$I29</f>
        <v>4736888.2758620698</v>
      </c>
      <c r="L29" s="40">
        <f>'Oct 22'!$K29/$K$2</f>
        <v>2.7244062115919957E-2</v>
      </c>
      <c r="M29" s="62"/>
    </row>
    <row r="30" spans="1:15" s="2" customFormat="1" ht="25.5" x14ac:dyDescent="0.2">
      <c r="A30" s="34" t="s">
        <v>176</v>
      </c>
      <c r="B30" s="60" t="s">
        <v>115</v>
      </c>
      <c r="C30" s="61" t="s">
        <v>116</v>
      </c>
      <c r="D30" s="35">
        <v>2.9373E-2</v>
      </c>
      <c r="E30" s="36">
        <f>'Oct 22'!$D30*$C$6*$C$2</f>
        <v>4717094.0301685734</v>
      </c>
      <c r="F30" s="36">
        <v>215261.61904761899</v>
      </c>
      <c r="G30" s="37">
        <f>'Oct 22'!$E30/'Oct 22'!$F30</f>
        <v>21.913307402584778</v>
      </c>
      <c r="H30" s="34">
        <v>21</v>
      </c>
      <c r="I30" s="34">
        <v>22</v>
      </c>
      <c r="J30" s="38">
        <f t="shared" si="1"/>
        <v>1</v>
      </c>
      <c r="K30" s="39">
        <f>'Oct 22'!$F30*'Oct 22'!$I30</f>
        <v>4735755.6190476175</v>
      </c>
      <c r="L30" s="40">
        <f>'Oct 22'!$K30/$K$2</f>
        <v>2.7237547676310689E-2</v>
      </c>
      <c r="M30" s="62"/>
    </row>
    <row r="31" spans="1:15" s="2" customFormat="1" ht="25.5" x14ac:dyDescent="0.2">
      <c r="A31" s="34" t="s">
        <v>176</v>
      </c>
      <c r="B31" s="60" t="s">
        <v>121</v>
      </c>
      <c r="C31" s="61" t="s">
        <v>122</v>
      </c>
      <c r="D31" s="35">
        <v>2.9373E-2</v>
      </c>
      <c r="E31" s="36">
        <f>'Oct 22'!$D31*$C$6*$C$2</f>
        <v>4717094.0301685734</v>
      </c>
      <c r="F31" s="36">
        <v>173112.81481481501</v>
      </c>
      <c r="G31" s="37">
        <f>'Oct 22'!$E31/'Oct 22'!$F31</f>
        <v>27.248670384192057</v>
      </c>
      <c r="H31" s="34">
        <v>27</v>
      </c>
      <c r="I31" s="34">
        <v>27</v>
      </c>
      <c r="J31" s="38">
        <f t="shared" si="1"/>
        <v>0</v>
      </c>
      <c r="K31" s="39">
        <f>'Oct 22'!$F31*'Oct 22'!$I31</f>
        <v>4674046.0000000056</v>
      </c>
      <c r="L31" s="40">
        <f>'Oct 22'!$K31/$K$2</f>
        <v>2.6882626766934391E-2</v>
      </c>
      <c r="M31" s="62"/>
    </row>
    <row r="32" spans="1:15" s="2" customFormat="1" ht="25.5" x14ac:dyDescent="0.2">
      <c r="A32" s="34" t="s">
        <v>176</v>
      </c>
      <c r="B32" s="60" t="s">
        <v>124</v>
      </c>
      <c r="C32" s="61" t="s">
        <v>125</v>
      </c>
      <c r="D32" s="35">
        <v>2.9373E-2</v>
      </c>
      <c r="E32" s="36">
        <f>'Oct 22'!$D32*$C$6*$C$2</f>
        <v>4717094.0301685734</v>
      </c>
      <c r="F32" s="36">
        <v>125648.444444444</v>
      </c>
      <c r="G32" s="37">
        <f>'Oct 22'!$E32/'Oct 22'!$F32</f>
        <v>37.542001025362929</v>
      </c>
      <c r="H32" s="34">
        <v>36</v>
      </c>
      <c r="I32" s="34">
        <v>38</v>
      </c>
      <c r="J32" s="38">
        <f t="shared" si="1"/>
        <v>2</v>
      </c>
      <c r="K32" s="39">
        <f>'Oct 22'!$F32*'Oct 22'!$I32</f>
        <v>4774640.8888888722</v>
      </c>
      <c r="L32" s="40">
        <f>'Oct 22'!$K32/$K$2</f>
        <v>2.7461195067858393E-2</v>
      </c>
      <c r="M32" s="62"/>
    </row>
    <row r="33" spans="1:13" s="2" customFormat="1" ht="25.5" x14ac:dyDescent="0.2">
      <c r="A33" s="34" t="s">
        <v>176</v>
      </c>
      <c r="B33" s="60" t="s">
        <v>127</v>
      </c>
      <c r="C33" s="61" t="s">
        <v>128</v>
      </c>
      <c r="D33" s="35">
        <v>2.9373E-2</v>
      </c>
      <c r="E33" s="36">
        <f>'Oct 22'!$D33*$C$6*$C$2</f>
        <v>4717094.0301685734</v>
      </c>
      <c r="F33" s="36">
        <v>138519.84848484799</v>
      </c>
      <c r="G33" s="37">
        <f>'Oct 22'!$E33/'Oct 22'!$F33</f>
        <v>34.053560423036075</v>
      </c>
      <c r="H33" s="34">
        <v>33</v>
      </c>
      <c r="I33" s="34">
        <v>34</v>
      </c>
      <c r="J33" s="38">
        <f t="shared" si="1"/>
        <v>1</v>
      </c>
      <c r="K33" s="39">
        <f>'Oct 22'!$F33*'Oct 22'!$I33</f>
        <v>4709674.8484848319</v>
      </c>
      <c r="L33" s="40">
        <f>'Oct 22'!$K33/$K$2</f>
        <v>2.7087544954721425E-2</v>
      </c>
      <c r="M33" s="62"/>
    </row>
    <row r="34" spans="1:13" s="2" customFormat="1" ht="25.5" x14ac:dyDescent="0.2">
      <c r="A34" s="34" t="s">
        <v>176</v>
      </c>
      <c r="B34" s="60" t="s">
        <v>135</v>
      </c>
      <c r="C34" s="61" t="s">
        <v>136</v>
      </c>
      <c r="D34" s="35">
        <v>2.9373E-2</v>
      </c>
      <c r="E34" s="36">
        <f>'Oct 22'!$D34*$C$6*$C$2</f>
        <v>4717094.0301685734</v>
      </c>
      <c r="F34" s="36">
        <v>220832.80952380999</v>
      </c>
      <c r="G34" s="37">
        <f>'Oct 22'!$E34/'Oct 22'!$F34</f>
        <v>21.360476463348988</v>
      </c>
      <c r="H34" s="34">
        <v>21</v>
      </c>
      <c r="I34" s="34">
        <v>21</v>
      </c>
      <c r="J34" s="38">
        <f t="shared" si="1"/>
        <v>0</v>
      </c>
      <c r="K34" s="39">
        <f>'Oct 22'!$F34*'Oct 22'!$I34</f>
        <v>4637489.0000000102</v>
      </c>
      <c r="L34" s="40">
        <f>'Oct 22'!$K34/$K$2</f>
        <v>2.6672370345256321E-2</v>
      </c>
      <c r="M34" s="62"/>
    </row>
    <row r="35" spans="1:13" s="43" customFormat="1" ht="25.5" customHeight="1" x14ac:dyDescent="0.25">
      <c r="A35" s="34" t="s">
        <v>177</v>
      </c>
      <c r="B35" s="34" t="s">
        <v>76</v>
      </c>
      <c r="C35" s="34" t="s">
        <v>77</v>
      </c>
      <c r="D35" s="35">
        <v>2.9373E-2</v>
      </c>
      <c r="E35" s="36">
        <f>'Oct 22'!$D35*$C$6*$C$2</f>
        <v>4717094.0301685734</v>
      </c>
      <c r="F35" s="36">
        <v>115250.1</v>
      </c>
      <c r="G35" s="37">
        <f>'Oct 22'!$E35/'Oct 22'!$F35</f>
        <v>40.929196852484928</v>
      </c>
      <c r="H35" s="34">
        <v>40</v>
      </c>
      <c r="I35" s="34">
        <v>41</v>
      </c>
      <c r="J35" s="38">
        <f t="shared" si="1"/>
        <v>1</v>
      </c>
      <c r="K35" s="39">
        <f>'Oct 22'!$F35*'Oct 22'!$I35</f>
        <v>4725254.1000000006</v>
      </c>
      <c r="L35" s="40">
        <f>'Oct 22'!$K35/$K$2</f>
        <v>2.7177148523832743E-2</v>
      </c>
      <c r="M35" s="41"/>
    </row>
    <row r="36" spans="1:13" s="43" customFormat="1" ht="25.5" x14ac:dyDescent="0.25">
      <c r="A36" s="34" t="s">
        <v>177</v>
      </c>
      <c r="B36" s="34" t="s">
        <v>71</v>
      </c>
      <c r="C36" s="34" t="s">
        <v>72</v>
      </c>
      <c r="D36" s="35">
        <v>2.9373E-2</v>
      </c>
      <c r="E36" s="36">
        <f>'Oct 22'!$D36*$C$6*$C$2</f>
        <v>4717094.0301685734</v>
      </c>
      <c r="F36" s="36">
        <v>134623.764705882</v>
      </c>
      <c r="G36" s="37">
        <f>'Oct 22'!$E36/'Oct 22'!$F36</f>
        <v>35.039088681513256</v>
      </c>
      <c r="H36" s="34">
        <v>34</v>
      </c>
      <c r="I36" s="34">
        <v>35</v>
      </c>
      <c r="J36" s="38">
        <f t="shared" si="1"/>
        <v>1</v>
      </c>
      <c r="K36" s="39">
        <f>'Oct 22'!$F36*'Oct 22'!$I36</f>
        <v>4711831.7647058703</v>
      </c>
      <c r="L36" s="40">
        <f>'Oct 22'!$K36/$K$2</f>
        <v>2.7099950389699541E-2</v>
      </c>
      <c r="M36" s="41"/>
    </row>
    <row r="37" spans="1:13" s="43" customFormat="1" ht="25.5" x14ac:dyDescent="0.25">
      <c r="A37" s="34" t="s">
        <v>177</v>
      </c>
      <c r="B37" s="34" t="s">
        <v>67</v>
      </c>
      <c r="C37" s="34" t="s">
        <v>68</v>
      </c>
      <c r="D37" s="35">
        <v>2.9373E-2</v>
      </c>
      <c r="E37" s="36">
        <f>'Oct 22'!$D37*$C$6*$C$2</f>
        <v>4717094.0301685734</v>
      </c>
      <c r="F37" s="36">
        <v>176271.538461538</v>
      </c>
      <c r="G37" s="37">
        <f>'Oct 22'!$E37/'Oct 22'!$F37</f>
        <v>26.760383844938367</v>
      </c>
      <c r="H37" s="34">
        <v>26</v>
      </c>
      <c r="I37" s="34">
        <v>27</v>
      </c>
      <c r="J37" s="38">
        <f t="shared" si="1"/>
        <v>1</v>
      </c>
      <c r="K37" s="39">
        <f>'Oct 22'!$F37*'Oct 22'!$I37</f>
        <v>4759331.5384615259</v>
      </c>
      <c r="L37" s="40">
        <f>'Oct 22'!$K37/$K$2</f>
        <v>2.7373143826261166E-2</v>
      </c>
      <c r="M37" s="41"/>
    </row>
    <row r="38" spans="1:13" s="43" customFormat="1" ht="25.5" x14ac:dyDescent="0.25">
      <c r="A38" s="34" t="s">
        <v>177</v>
      </c>
      <c r="B38" s="34" t="s">
        <v>80</v>
      </c>
      <c r="C38" s="34" t="s">
        <v>81</v>
      </c>
      <c r="D38" s="35">
        <v>2.9373E-2</v>
      </c>
      <c r="E38" s="36">
        <f>'Oct 22'!$D38*$C$6*$C$2</f>
        <v>4717094.0301685734</v>
      </c>
      <c r="F38" s="36">
        <v>267901.235294118</v>
      </c>
      <c r="G38" s="37">
        <f>'Oct 22'!$E38/'Oct 22'!$F38</f>
        <v>17.607585963498323</v>
      </c>
      <c r="H38" s="34">
        <v>17</v>
      </c>
      <c r="I38" s="34">
        <v>18</v>
      </c>
      <c r="J38" s="38">
        <f t="shared" si="1"/>
        <v>1</v>
      </c>
      <c r="K38" s="39">
        <f>'Oct 22'!$F38*'Oct 22'!$I38</f>
        <v>4822222.2352941241</v>
      </c>
      <c r="L38" s="40">
        <f>'Oct 22'!$K38/$K$2</f>
        <v>2.7734857666917238E-2</v>
      </c>
      <c r="M38" s="41"/>
    </row>
    <row r="39" spans="1:13" s="64" customFormat="1" ht="12.75" x14ac:dyDescent="0.2">
      <c r="A39" s="34"/>
      <c r="B39" s="61"/>
      <c r="C39" s="61"/>
      <c r="D39" s="35"/>
      <c r="E39" s="63"/>
      <c r="F39" s="36"/>
      <c r="G39" s="37"/>
      <c r="H39" s="34"/>
      <c r="I39" s="34"/>
      <c r="J39" s="45"/>
      <c r="K39" s="36"/>
      <c r="L39" s="46"/>
      <c r="M39" s="62"/>
    </row>
    <row r="40" spans="1:13" s="15" customFormat="1" ht="12.75" x14ac:dyDescent="0.2">
      <c r="A40" s="47" t="s">
        <v>182</v>
      </c>
      <c r="B40" s="65"/>
      <c r="C40" s="65"/>
      <c r="D40" s="55">
        <f>SUBTOTAL(9,D29:D39)</f>
        <v>0.29372999999999999</v>
      </c>
      <c r="E40" s="66">
        <f>'Oct 22'!$D40*$C$6*$C$2</f>
        <v>47170940.301685736</v>
      </c>
      <c r="F40" s="67"/>
      <c r="G40" s="68"/>
      <c r="H40" s="54"/>
      <c r="I40" s="54"/>
      <c r="J40" s="58"/>
      <c r="K40" s="66">
        <f>SUM(K29:K39)</f>
        <v>47287134.270744935</v>
      </c>
      <c r="L40" s="69">
        <f>'Oct 22'!$K40/$K$2</f>
        <v>0.2719704473337119</v>
      </c>
      <c r="M40" s="70"/>
    </row>
    <row r="41" spans="1:13" s="64" customFormat="1" ht="12.75" x14ac:dyDescent="0.2">
      <c r="A41" s="34"/>
      <c r="B41" s="61"/>
      <c r="C41" s="61"/>
      <c r="D41" s="35"/>
      <c r="E41" s="63"/>
      <c r="F41" s="36"/>
      <c r="G41" s="37"/>
      <c r="H41" s="34"/>
      <c r="I41" s="34"/>
      <c r="J41" s="45"/>
      <c r="K41" s="36"/>
      <c r="L41" s="40"/>
      <c r="M41" s="62"/>
    </row>
    <row r="42" spans="1:13" s="2" customFormat="1" ht="24.75" customHeight="1" x14ac:dyDescent="0.2">
      <c r="A42" s="34" t="s">
        <v>176</v>
      </c>
      <c r="B42" s="61" t="s">
        <v>183</v>
      </c>
      <c r="C42" s="61" t="s">
        <v>131</v>
      </c>
      <c r="D42" s="35">
        <v>7.1429000000000006E-2</v>
      </c>
      <c r="E42" s="36">
        <f>'Oct 22'!$D42*$C$6*$C$2</f>
        <v>11470987.283590749</v>
      </c>
      <c r="F42" s="36">
        <v>416329.96875</v>
      </c>
      <c r="G42" s="37">
        <f>'Oct 22'!$E42/'Oct 22'!$F42</f>
        <v>27.552634075398274</v>
      </c>
      <c r="H42" s="34">
        <v>32</v>
      </c>
      <c r="I42" s="34">
        <v>32</v>
      </c>
      <c r="J42" s="38">
        <f t="shared" ref="J42:J48" si="2">I42-H42</f>
        <v>0</v>
      </c>
      <c r="K42" s="39">
        <f>'Oct 22'!$F42*'Oct 22'!$I42</f>
        <v>13322559</v>
      </c>
      <c r="L42" s="40">
        <f>'Oct 22'!$K42/$K$2</f>
        <v>7.6624273953970978E-2</v>
      </c>
      <c r="M42" s="62"/>
    </row>
    <row r="43" spans="1:13" s="43" customFormat="1" ht="25.5" x14ac:dyDescent="0.25">
      <c r="A43" s="34" t="s">
        <v>177</v>
      </c>
      <c r="B43" s="34" t="s">
        <v>82</v>
      </c>
      <c r="C43" s="34" t="s">
        <v>83</v>
      </c>
      <c r="D43" s="35">
        <v>7.1429000000000006E-2</v>
      </c>
      <c r="E43" s="36">
        <f>'Oct 22'!$D43*$C$6*$C$2</f>
        <v>11470987.283590749</v>
      </c>
      <c r="F43" s="36">
        <v>249406.245283019</v>
      </c>
      <c r="G43" s="37">
        <f>'Oct 22'!$E43/'Oct 22'!$F43</f>
        <v>45.99318381371647</v>
      </c>
      <c r="H43" s="34">
        <v>53</v>
      </c>
      <c r="I43" s="34">
        <v>53</v>
      </c>
      <c r="J43" s="38">
        <f t="shared" si="2"/>
        <v>0</v>
      </c>
      <c r="K43" s="39">
        <f>'Oct 22'!$F43*'Oct 22'!$I43</f>
        <v>13218531.000000007</v>
      </c>
      <c r="L43" s="40">
        <f>'Oct 22'!$K43/$K$2</f>
        <v>7.6025960223787228E-2</v>
      </c>
      <c r="M43" s="41"/>
    </row>
    <row r="44" spans="1:13" s="43" customFormat="1" ht="25.5" x14ac:dyDescent="0.25">
      <c r="A44" s="34" t="s">
        <v>177</v>
      </c>
      <c r="B44" s="34" t="s">
        <v>184</v>
      </c>
      <c r="C44" s="34" t="s">
        <v>105</v>
      </c>
      <c r="D44" s="35">
        <v>7.1429000000000006E-2</v>
      </c>
      <c r="E44" s="36">
        <f>'Oct 22'!$D44*$C$6*$C$2</f>
        <v>11470987.283590749</v>
      </c>
      <c r="F44" s="36">
        <v>416335.5625</v>
      </c>
      <c r="G44" s="37">
        <f>'Oct 22'!$E44/'Oct 22'!$F44</f>
        <v>27.552263887115693</v>
      </c>
      <c r="H44" s="34">
        <v>32</v>
      </c>
      <c r="I44" s="34">
        <v>32</v>
      </c>
      <c r="J44" s="38">
        <f t="shared" si="2"/>
        <v>0</v>
      </c>
      <c r="K44" s="39">
        <f>'Oct 22'!$F44*'Oct 22'!$I44</f>
        <v>13322738</v>
      </c>
      <c r="L44" s="40">
        <f>'Oct 22'!$K44/$K$2</f>
        <v>7.6625303466772363E-2</v>
      </c>
      <c r="M44" s="41"/>
    </row>
    <row r="45" spans="1:13" s="43" customFormat="1" ht="25.5" x14ac:dyDescent="0.25">
      <c r="A45" s="34" t="s">
        <v>177</v>
      </c>
      <c r="B45" s="34" t="s">
        <v>107</v>
      </c>
      <c r="C45" s="34" t="s">
        <v>108</v>
      </c>
      <c r="D45" s="35">
        <v>7.1429000000000006E-2</v>
      </c>
      <c r="E45" s="36">
        <f>'Oct 22'!$D45*$C$6*$C$2</f>
        <v>11470987.283590749</v>
      </c>
      <c r="F45" s="36">
        <v>249795.67924528301</v>
      </c>
      <c r="G45" s="37">
        <f>'Oct 22'!$E45/'Oct 22'!$F45</f>
        <v>45.921479980152057</v>
      </c>
      <c r="H45" s="34">
        <v>53</v>
      </c>
      <c r="I45" s="34">
        <v>53</v>
      </c>
      <c r="J45" s="38">
        <f t="shared" si="2"/>
        <v>0</v>
      </c>
      <c r="K45" s="39">
        <f>'Oct 22'!$F45*'Oct 22'!$I45</f>
        <v>13239171</v>
      </c>
      <c r="L45" s="40">
        <f>'Oct 22'!$K45/$K$2</f>
        <v>7.6144670526695948E-2</v>
      </c>
      <c r="M45" s="41"/>
    </row>
    <row r="46" spans="1:13" s="43" customFormat="1" ht="25.5" x14ac:dyDescent="0.25">
      <c r="A46" s="34" t="s">
        <v>177</v>
      </c>
      <c r="B46" s="34" t="s">
        <v>85</v>
      </c>
      <c r="C46" s="34" t="s">
        <v>86</v>
      </c>
      <c r="D46" s="35">
        <v>7.1429000000000006E-2</v>
      </c>
      <c r="E46" s="36">
        <f>'Oct 22'!$D46*$C$6*$C$2</f>
        <v>11470987.283590749</v>
      </c>
      <c r="F46" s="36">
        <v>164024.56097560999</v>
      </c>
      <c r="G46" s="37">
        <f>'Oct 22'!$E46/'Oct 22'!$F46</f>
        <v>69.934570867691292</v>
      </c>
      <c r="H46" s="34">
        <v>82</v>
      </c>
      <c r="I46" s="34">
        <v>82</v>
      </c>
      <c r="J46" s="38">
        <f t="shared" si="2"/>
        <v>0</v>
      </c>
      <c r="K46" s="39">
        <f>'Oct 22'!$F46*'Oct 22'!$I46</f>
        <v>13450014.000000019</v>
      </c>
      <c r="L46" s="40">
        <f>'Oct 22'!$K46/$K$2</f>
        <v>7.7357327328837225E-2</v>
      </c>
      <c r="M46" s="41"/>
    </row>
    <row r="47" spans="1:13" s="43" customFormat="1" ht="25.5" x14ac:dyDescent="0.25">
      <c r="A47" s="34" t="s">
        <v>177</v>
      </c>
      <c r="B47" s="34" t="s">
        <v>186</v>
      </c>
      <c r="C47" s="34" t="s">
        <v>187</v>
      </c>
      <c r="D47" s="35">
        <v>7.1429000000000006E-2</v>
      </c>
      <c r="E47" s="36">
        <f>'Oct 22'!$D47*$C$6*$C$2</f>
        <v>11470987.283590749</v>
      </c>
      <c r="F47" s="36">
        <v>175013.973684211</v>
      </c>
      <c r="G47" s="37">
        <f>'Oct 22'!$E47/'Oct 22'!$F47</f>
        <v>65.543265158292968</v>
      </c>
      <c r="H47" s="34">
        <v>76</v>
      </c>
      <c r="I47" s="34">
        <v>76</v>
      </c>
      <c r="J47" s="38">
        <f t="shared" si="2"/>
        <v>0</v>
      </c>
      <c r="K47" s="39">
        <f>'Oct 22'!$F47*'Oct 22'!$I47</f>
        <v>13301062.000000035</v>
      </c>
      <c r="L47" s="40">
        <f>'Oct 22'!$K47/$K$2</f>
        <v>7.6500634642845705E-2</v>
      </c>
      <c r="M47" s="41"/>
    </row>
    <row r="48" spans="1:13" s="43" customFormat="1" ht="25.5" x14ac:dyDescent="0.25">
      <c r="A48" s="34" t="s">
        <v>177</v>
      </c>
      <c r="B48" s="34" t="s">
        <v>188</v>
      </c>
      <c r="C48" s="34" t="s">
        <v>189</v>
      </c>
      <c r="D48" s="35">
        <v>7.1429000000000006E-2</v>
      </c>
      <c r="E48" s="36">
        <f>'Oct 22'!$D48*$C$6*$C$2</f>
        <v>11470987.283590749</v>
      </c>
      <c r="F48" s="36">
        <v>710558</v>
      </c>
      <c r="G48" s="37">
        <f>'Oct 22'!$E48/'Oct 22'!$F48</f>
        <v>16.143632586770888</v>
      </c>
      <c r="H48" s="34">
        <v>19</v>
      </c>
      <c r="I48" s="34">
        <v>19</v>
      </c>
      <c r="J48" s="38">
        <f t="shared" si="2"/>
        <v>0</v>
      </c>
      <c r="K48" s="39">
        <f>'Oct 22'!$F48*'Oct 22'!$I48</f>
        <v>13500602</v>
      </c>
      <c r="L48" s="40">
        <f>'Oct 22'!$K48/$K$2</f>
        <v>7.7648282600326898E-2</v>
      </c>
      <c r="M48" s="41"/>
    </row>
    <row r="49" spans="1:16" s="44" customFormat="1" ht="12.75" x14ac:dyDescent="0.25">
      <c r="A49" s="34"/>
      <c r="B49" s="34"/>
      <c r="C49" s="34"/>
      <c r="D49" s="35"/>
      <c r="E49" s="36"/>
      <c r="F49" s="36"/>
      <c r="G49" s="37"/>
      <c r="H49" s="34"/>
      <c r="I49" s="34"/>
      <c r="J49" s="45"/>
      <c r="K49" s="36"/>
      <c r="L49" s="40"/>
      <c r="M49" s="34"/>
    </row>
    <row r="50" spans="1:16" s="53" customFormat="1" ht="25.5" x14ac:dyDescent="0.25">
      <c r="A50" s="47" t="s">
        <v>190</v>
      </c>
      <c r="B50" s="47"/>
      <c r="C50" s="47"/>
      <c r="D50" s="55">
        <f>SUBTOTAL(9,D42:D49)</f>
        <v>0.50000300000000009</v>
      </c>
      <c r="E50" s="49">
        <f>'Oct 22'!$D50*$C$6*$C$2</f>
        <v>80296910.985135257</v>
      </c>
      <c r="F50" s="68"/>
      <c r="G50" s="68"/>
      <c r="H50" s="54"/>
      <c r="I50" s="54"/>
      <c r="J50" s="58"/>
      <c r="K50" s="49">
        <f>SUM(K42:K49)</f>
        <v>93354677.00000006</v>
      </c>
      <c r="L50" s="71">
        <f>'Oct 22'!$K50/$K$2</f>
        <v>0.53692645274323636</v>
      </c>
      <c r="M50" s="47"/>
    </row>
    <row r="51" spans="1:16" s="44" customFormat="1" ht="12.75" x14ac:dyDescent="0.25">
      <c r="A51" s="34"/>
      <c r="B51" s="34"/>
      <c r="C51" s="34"/>
      <c r="D51" s="35"/>
      <c r="E51" s="36"/>
      <c r="F51" s="36"/>
      <c r="G51" s="37"/>
      <c r="H51" s="34"/>
      <c r="I51" s="34"/>
      <c r="J51" s="45"/>
      <c r="K51" s="36"/>
      <c r="L51" s="40"/>
      <c r="M51" s="34"/>
    </row>
    <row r="52" spans="1:16" s="43" customFormat="1" ht="12.75" x14ac:dyDescent="0.25">
      <c r="A52" s="34"/>
      <c r="B52" s="34"/>
      <c r="C52" s="34"/>
      <c r="D52" s="35"/>
      <c r="E52" s="36"/>
      <c r="F52" s="36"/>
      <c r="G52" s="72"/>
      <c r="H52" s="34"/>
      <c r="I52" s="34"/>
      <c r="J52" s="38"/>
      <c r="K52" s="39"/>
      <c r="L52" s="40"/>
      <c r="M52" s="41"/>
    </row>
    <row r="53" spans="1:16" s="43" customFormat="1" ht="25.5" x14ac:dyDescent="0.25">
      <c r="A53" s="34" t="s">
        <v>191</v>
      </c>
      <c r="B53" s="34" t="s">
        <v>63</v>
      </c>
      <c r="C53" s="34" t="s">
        <v>64</v>
      </c>
      <c r="D53" s="35">
        <v>9.7900000000000005E-4</v>
      </c>
      <c r="E53" s="36">
        <f>'Oct 22'!$D53*$C$6*$C$2</f>
        <v>157220.40838644447</v>
      </c>
      <c r="F53" s="36">
        <v>45970</v>
      </c>
      <c r="G53" s="72">
        <f>'Oct 22'!$E53/'Oct 22'!$F53</f>
        <v>3.4200654423851309</v>
      </c>
      <c r="H53" s="34">
        <v>3</v>
      </c>
      <c r="I53" s="34">
        <v>3</v>
      </c>
      <c r="J53" s="38">
        <f t="shared" ref="J53:J62" si="3">I53-H53</f>
        <v>0</v>
      </c>
      <c r="K53" s="39">
        <f>'Oct 22'!$F53*'Oct 22'!$I53</f>
        <v>137910</v>
      </c>
      <c r="L53" s="40">
        <f>'Oct 22'!$K53/$K$2</f>
        <v>7.9318497452269773E-4</v>
      </c>
      <c r="M53" s="41"/>
    </row>
    <row r="54" spans="1:16" s="43" customFormat="1" ht="25.5" x14ac:dyDescent="0.25">
      <c r="A54" s="34" t="s">
        <v>191</v>
      </c>
      <c r="B54" s="34" t="s">
        <v>73</v>
      </c>
      <c r="C54" s="34" t="s">
        <v>74</v>
      </c>
      <c r="D54" s="35">
        <v>9.7900000000000005E-4</v>
      </c>
      <c r="E54" s="36">
        <f>'Oct 22'!$D54*$C$6*$C$2</f>
        <v>157220.40838644447</v>
      </c>
      <c r="F54" s="36">
        <v>174045</v>
      </c>
      <c r="G54" s="72">
        <f>'Oct 22'!$E54/'Oct 22'!$F54</f>
        <v>0.90333194510870451</v>
      </c>
      <c r="H54" s="34">
        <v>1</v>
      </c>
      <c r="I54" s="34">
        <v>1</v>
      </c>
      <c r="J54" s="38">
        <f t="shared" si="3"/>
        <v>0</v>
      </c>
      <c r="K54" s="39">
        <f>'Oct 22'!$F54*'Oct 22'!$I54</f>
        <v>174045</v>
      </c>
      <c r="L54" s="40">
        <f>'Oct 22'!$K54/$K$2</f>
        <v>1.0010142766355081E-3</v>
      </c>
      <c r="M54" s="41"/>
      <c r="P54" s="43" t="s">
        <v>194</v>
      </c>
    </row>
    <row r="55" spans="1:16" s="43" customFormat="1" ht="25.5" x14ac:dyDescent="0.25">
      <c r="A55" s="34" t="s">
        <v>191</v>
      </c>
      <c r="B55" s="34" t="s">
        <v>92</v>
      </c>
      <c r="C55" s="34" t="s">
        <v>93</v>
      </c>
      <c r="D55" s="35">
        <v>9.7900000000000005E-4</v>
      </c>
      <c r="E55" s="36">
        <f>'Oct 22'!$D55*$C$6*$C$2</f>
        <v>157220.40838644447</v>
      </c>
      <c r="F55" s="36">
        <v>94822</v>
      </c>
      <c r="G55" s="72">
        <f>'Oct 22'!$E55/'Oct 22'!$F55</f>
        <v>1.6580583449668269</v>
      </c>
      <c r="H55" s="34">
        <v>2</v>
      </c>
      <c r="I55" s="34">
        <v>2</v>
      </c>
      <c r="J55" s="38">
        <f t="shared" si="3"/>
        <v>0</v>
      </c>
      <c r="K55" s="39">
        <f>'Oct 22'!$F55*'Oct 22'!$I55</f>
        <v>189644</v>
      </c>
      <c r="L55" s="40">
        <f>'Oct 22'!$K55/$K$2</f>
        <v>1.0907314285286236E-3</v>
      </c>
      <c r="M55" s="41"/>
    </row>
    <row r="56" spans="1:16" s="43" customFormat="1" ht="25.5" x14ac:dyDescent="0.25">
      <c r="A56" s="34" t="s">
        <v>191</v>
      </c>
      <c r="B56" s="34" t="s">
        <v>94</v>
      </c>
      <c r="C56" s="34" t="s">
        <v>95</v>
      </c>
      <c r="D56" s="35">
        <v>9.7900000000000005E-4</v>
      </c>
      <c r="E56" s="36">
        <f>'Oct 22'!$D56*$C$6*$C$2</f>
        <v>157220.40838644447</v>
      </c>
      <c r="F56" s="36">
        <v>242199</v>
      </c>
      <c r="G56" s="72">
        <f>'Oct 22'!$E56/'Oct 22'!$F56</f>
        <v>0.64913731430123356</v>
      </c>
      <c r="H56" s="34">
        <v>1</v>
      </c>
      <c r="I56" s="34">
        <v>1</v>
      </c>
      <c r="J56" s="38">
        <f t="shared" si="3"/>
        <v>0</v>
      </c>
      <c r="K56" s="39">
        <f>'Oct 22'!$F56*'Oct 22'!$I56</f>
        <v>242199</v>
      </c>
      <c r="L56" s="40">
        <f>'Oct 22'!$K56/$K$2</f>
        <v>1.3929998378973451E-3</v>
      </c>
      <c r="M56" s="41"/>
    </row>
    <row r="57" spans="1:16" s="43" customFormat="1" ht="25.5" x14ac:dyDescent="0.25">
      <c r="A57" s="34" t="s">
        <v>191</v>
      </c>
      <c r="B57" s="34" t="s">
        <v>200</v>
      </c>
      <c r="C57" s="34" t="s">
        <v>99</v>
      </c>
      <c r="D57" s="35">
        <v>9.7900000000000005E-4</v>
      </c>
      <c r="E57" s="36">
        <f>'Oct 22'!$D57*$C$6*$C$2</f>
        <v>157220.40838644447</v>
      </c>
      <c r="F57" s="36">
        <v>12128.615384615399</v>
      </c>
      <c r="G57" s="72">
        <f>'Oct 22'!$E57/'Oct 22'!$F57</f>
        <v>12.962766432998729</v>
      </c>
      <c r="H57" s="34">
        <v>13</v>
      </c>
      <c r="I57" s="34">
        <v>13</v>
      </c>
      <c r="J57" s="38">
        <f t="shared" si="3"/>
        <v>0</v>
      </c>
      <c r="K57" s="39">
        <f>'Oct 22'!$F57*'Oct 22'!$I57</f>
        <v>157672.0000000002</v>
      </c>
      <c r="L57" s="40">
        <f>'Oct 22'!$K57/$K$2</f>
        <v>9.0684548838331489E-4</v>
      </c>
      <c r="M57" s="41"/>
    </row>
    <row r="58" spans="1:16" s="43" customFormat="1" ht="25.5" x14ac:dyDescent="0.25">
      <c r="A58" s="34" t="s">
        <v>191</v>
      </c>
      <c r="B58" s="34" t="s">
        <v>101</v>
      </c>
      <c r="C58" s="34" t="s">
        <v>102</v>
      </c>
      <c r="D58" s="35">
        <v>9.7900000000000005E-4</v>
      </c>
      <c r="E58" s="36">
        <f>'Oct 22'!$D58*$C$6*$C$2</f>
        <v>157220.40838644447</v>
      </c>
      <c r="F58" s="36">
        <v>93630.5</v>
      </c>
      <c r="G58" s="72">
        <f>'Oct 22'!$E58/'Oct 22'!$F58</f>
        <v>1.6791580562577844</v>
      </c>
      <c r="H58" s="34">
        <v>2</v>
      </c>
      <c r="I58" s="34">
        <v>2</v>
      </c>
      <c r="J58" s="38">
        <f t="shared" si="3"/>
        <v>0</v>
      </c>
      <c r="K58" s="39">
        <f>'Oct 22'!$F58*'Oct 22'!$I58</f>
        <v>187261</v>
      </c>
      <c r="L58" s="40">
        <f>'Oct 22'!$K58/$K$2</f>
        <v>1.0770256798933718E-3</v>
      </c>
      <c r="M58" s="41"/>
    </row>
    <row r="59" spans="1:16" s="2" customFormat="1" ht="25.5" x14ac:dyDescent="0.2">
      <c r="A59" s="34" t="s">
        <v>191</v>
      </c>
      <c r="B59" s="61" t="s">
        <v>132</v>
      </c>
      <c r="C59" s="61" t="s">
        <v>133</v>
      </c>
      <c r="D59" s="35">
        <v>9.7900000000000005E-4</v>
      </c>
      <c r="E59" s="36">
        <f>'Oct 22'!$D59*$C$6*$C$2</f>
        <v>157220.40838644447</v>
      </c>
      <c r="F59" s="36">
        <v>64210.5</v>
      </c>
      <c r="G59" s="72">
        <f>'Oct 22'!$E59/'Oct 22'!$F59</f>
        <v>2.4485155603280533</v>
      </c>
      <c r="H59" s="34">
        <v>2</v>
      </c>
      <c r="I59" s="34">
        <v>2</v>
      </c>
      <c r="J59" s="38">
        <f t="shared" si="3"/>
        <v>0</v>
      </c>
      <c r="K59" s="39">
        <f>'Oct 22'!$F59*'Oct 22'!$I59</f>
        <v>128421</v>
      </c>
      <c r="L59" s="40">
        <f>'Oct 22'!$K59/$K$2</f>
        <v>7.386092931127501E-4</v>
      </c>
      <c r="M59" s="62"/>
    </row>
    <row r="60" spans="1:16" s="43" customFormat="1" ht="25.5" x14ac:dyDescent="0.25">
      <c r="A60" s="34" t="s">
        <v>191</v>
      </c>
      <c r="B60" s="34" t="s">
        <v>89</v>
      </c>
      <c r="C60" s="34" t="s">
        <v>90</v>
      </c>
      <c r="D60" s="35">
        <v>9.7900000000000005E-4</v>
      </c>
      <c r="E60" s="36">
        <f>'Oct 22'!$D60*$C$6*$C$2</f>
        <v>157220.40838644447</v>
      </c>
      <c r="F60" s="36">
        <v>33150</v>
      </c>
      <c r="G60" s="72">
        <f>'Oct 22'!$E60/'Oct 22'!$F60</f>
        <v>4.7426970855639361</v>
      </c>
      <c r="H60" s="34">
        <v>5</v>
      </c>
      <c r="I60" s="34">
        <v>5</v>
      </c>
      <c r="J60" s="38">
        <f t="shared" si="3"/>
        <v>0</v>
      </c>
      <c r="K60" s="39">
        <f>'Oct 22'!$F60*'Oct 22'!$I60</f>
        <v>165750</v>
      </c>
      <c r="L60" s="40">
        <f>'Oct 22'!$K60/$K$2</f>
        <v>9.533058482135969E-4</v>
      </c>
      <c r="M60" s="41"/>
    </row>
    <row r="61" spans="1:16" s="43" customFormat="1" ht="25.5" x14ac:dyDescent="0.25">
      <c r="A61" s="34" t="s">
        <v>191</v>
      </c>
      <c r="B61" s="34" t="s">
        <v>113</v>
      </c>
      <c r="C61" s="34" t="s">
        <v>114</v>
      </c>
      <c r="D61" s="35">
        <v>9.7900000000000005E-4</v>
      </c>
      <c r="E61" s="36">
        <f>'Oct 22'!$D61*$C$6*$C$2</f>
        <v>157220.40838644447</v>
      </c>
      <c r="F61" s="36">
        <v>8215</v>
      </c>
      <c r="G61" s="72">
        <f>'Oct 22'!$E61/'Oct 22'!$F61</f>
        <v>19.13821161125313</v>
      </c>
      <c r="H61" s="34">
        <v>19</v>
      </c>
      <c r="I61" s="34">
        <v>19</v>
      </c>
      <c r="J61" s="38">
        <f t="shared" si="3"/>
        <v>0</v>
      </c>
      <c r="K61" s="39">
        <f>'Oct 22'!$F61*'Oct 22'!$I61</f>
        <v>156085</v>
      </c>
      <c r="L61" s="40">
        <f>'Oct 22'!$K61/$K$2</f>
        <v>8.9771790840675273E-4</v>
      </c>
      <c r="M61" s="41"/>
    </row>
    <row r="62" spans="1:16" s="43" customFormat="1" ht="25.5" x14ac:dyDescent="0.25">
      <c r="A62" s="34" t="s">
        <v>191</v>
      </c>
      <c r="B62" s="34" t="s">
        <v>96</v>
      </c>
      <c r="C62" s="34" t="s">
        <v>97</v>
      </c>
      <c r="D62" s="35">
        <v>9.7900000000000005E-4</v>
      </c>
      <c r="E62" s="36">
        <f>'Oct 22'!$D62*$C$6*$C$2</f>
        <v>157220.40838644447</v>
      </c>
      <c r="F62" s="36">
        <v>47779.333333333299</v>
      </c>
      <c r="G62" s="72">
        <f>'Oct 22'!$E62/'Oct 22'!$F62</f>
        <v>3.2905525761440355</v>
      </c>
      <c r="H62" s="34">
        <v>3</v>
      </c>
      <c r="I62" s="34">
        <v>3</v>
      </c>
      <c r="J62" s="38">
        <f t="shared" si="3"/>
        <v>0</v>
      </c>
      <c r="K62" s="39">
        <f>'Oct 22'!$F62*'Oct 22'!$I62</f>
        <v>143337.99999999988</v>
      </c>
      <c r="L62" s="40">
        <f>'Oct 22'!$K62/$K$2</f>
        <v>8.2440394371789108E-4</v>
      </c>
      <c r="M62" s="41"/>
    </row>
    <row r="63" spans="1:16" s="43" customFormat="1" ht="12.75" x14ac:dyDescent="0.25">
      <c r="A63" s="34"/>
      <c r="B63" s="34"/>
      <c r="C63" s="34"/>
      <c r="D63" s="35"/>
      <c r="E63" s="36"/>
      <c r="F63" s="36"/>
      <c r="G63" s="37"/>
      <c r="H63" s="34"/>
      <c r="I63" s="34"/>
      <c r="J63" s="41"/>
      <c r="K63" s="39"/>
      <c r="L63" s="40"/>
      <c r="M63" s="41"/>
    </row>
    <row r="64" spans="1:16" s="43" customFormat="1" ht="12.75" x14ac:dyDescent="0.25">
      <c r="A64" s="34"/>
      <c r="B64" s="34"/>
      <c r="C64" s="34"/>
      <c r="D64" s="35"/>
      <c r="E64" s="36"/>
      <c r="F64" s="36"/>
      <c r="G64" s="37"/>
      <c r="H64" s="34"/>
      <c r="I64" s="34"/>
      <c r="J64" s="41"/>
      <c r="K64" s="39"/>
      <c r="L64" s="40"/>
      <c r="M64" s="41"/>
    </row>
    <row r="65" spans="1:13" s="43" customFormat="1" ht="12.75" x14ac:dyDescent="0.25">
      <c r="A65" s="34"/>
      <c r="B65" s="34"/>
      <c r="C65" s="34"/>
      <c r="D65" s="35"/>
      <c r="E65" s="36"/>
      <c r="F65" s="36"/>
      <c r="G65" s="37"/>
      <c r="H65" s="34"/>
      <c r="I65" s="34"/>
      <c r="J65" s="41"/>
      <c r="K65" s="39"/>
      <c r="L65" s="40"/>
      <c r="M65" s="41"/>
    </row>
    <row r="66" spans="1:13" s="15" customFormat="1" ht="12.75" x14ac:dyDescent="0.2">
      <c r="A66" s="47" t="s">
        <v>205</v>
      </c>
      <c r="B66" s="65"/>
      <c r="C66" s="65"/>
      <c r="D66" s="88">
        <f>SUM(D53:D65)</f>
        <v>9.7900000000000018E-3</v>
      </c>
      <c r="E66" s="49">
        <f>SUM(E52:E65)</f>
        <v>1572204.0838644446</v>
      </c>
      <c r="F66" s="68"/>
      <c r="G66" s="68"/>
      <c r="H66" s="65"/>
      <c r="I66" s="65"/>
      <c r="J66" s="47"/>
      <c r="K66" s="49">
        <f>SUM(K52:K65)</f>
        <v>1682325</v>
      </c>
      <c r="L66" s="52">
        <f>'Oct 22'!$K66/$K$2</f>
        <v>9.6758386793118524E-3</v>
      </c>
      <c r="M66" s="59"/>
    </row>
    <row r="67" spans="1:13" s="2" customFormat="1" ht="12.75" x14ac:dyDescent="0.2">
      <c r="A67" s="34"/>
      <c r="B67" s="61"/>
      <c r="C67" s="61"/>
      <c r="D67" s="74"/>
      <c r="E67" s="36"/>
      <c r="F67" s="36"/>
      <c r="G67" s="37"/>
      <c r="H67" s="61"/>
      <c r="I67" s="61"/>
      <c r="J67" s="34"/>
      <c r="K67" s="34"/>
      <c r="L67" s="40"/>
      <c r="M67" s="62"/>
    </row>
    <row r="68" spans="1:13" s="43" customFormat="1" ht="25.5" x14ac:dyDescent="0.25">
      <c r="A68" s="47" t="s">
        <v>206</v>
      </c>
      <c r="B68" s="54" t="s">
        <v>118</v>
      </c>
      <c r="C68" s="54" t="s">
        <v>119</v>
      </c>
      <c r="D68" s="55">
        <v>1.0442999999999999E-2</v>
      </c>
      <c r="E68" s="56">
        <f>'Oct 22'!$D68*$C$6*$C$2</f>
        <v>1677071.2204082119</v>
      </c>
      <c r="F68" s="56">
        <v>29278.639999999999</v>
      </c>
      <c r="G68" s="57">
        <f>'Oct 22'!$E68/'Oct 22'!$F68</f>
        <v>57.279683086653343</v>
      </c>
      <c r="H68" s="54">
        <v>50</v>
      </c>
      <c r="I68" s="54">
        <v>57</v>
      </c>
      <c r="J68" s="75">
        <f>I68-H68</f>
        <v>7</v>
      </c>
      <c r="K68" s="56">
        <f>'Oct 22'!$F68*'Oct 22'!$I68</f>
        <v>1668882.48</v>
      </c>
      <c r="L68" s="76">
        <f>'Oct 22'!$K68/$K$2</f>
        <v>9.5985244534854373E-3</v>
      </c>
      <c r="M68" s="54"/>
    </row>
    <row r="69" spans="1:13" s="2" customFormat="1" ht="12.75" x14ac:dyDescent="0.2">
      <c r="A69" s="34"/>
      <c r="B69" s="61"/>
      <c r="C69" s="61"/>
      <c r="D69" s="74"/>
      <c r="E69" s="36"/>
      <c r="F69" s="36"/>
      <c r="G69" s="37"/>
      <c r="H69" s="61"/>
      <c r="I69" s="61"/>
      <c r="J69" s="34"/>
      <c r="K69" s="34"/>
      <c r="L69" s="40"/>
      <c r="M69" s="62"/>
    </row>
    <row r="70" spans="1:13" s="2" customFormat="1" ht="12.75" x14ac:dyDescent="0.2">
      <c r="A70" s="34"/>
      <c r="B70" s="61"/>
      <c r="C70" s="61"/>
      <c r="D70" s="77"/>
      <c r="E70" s="63"/>
      <c r="F70" s="36"/>
      <c r="G70" s="37"/>
      <c r="H70" s="61"/>
      <c r="I70" s="61"/>
      <c r="J70" s="34"/>
      <c r="K70" s="34"/>
      <c r="L70" s="40"/>
      <c r="M70" s="62"/>
    </row>
    <row r="71" spans="1:13" s="15" customFormat="1" ht="12.75" x14ac:dyDescent="0.2">
      <c r="A71" s="47" t="s">
        <v>208</v>
      </c>
      <c r="B71" s="65"/>
      <c r="C71" s="65"/>
      <c r="D71" s="65"/>
      <c r="E71" s="78"/>
      <c r="F71" s="78"/>
      <c r="G71" s="47"/>
      <c r="H71" s="65"/>
      <c r="I71" s="65"/>
      <c r="J71" s="65"/>
      <c r="K71" s="78">
        <f>SUM(K25,K27,K40,K50,K66,K68:K68)</f>
        <v>173868649.09157905</v>
      </c>
      <c r="L71" s="52">
        <f>'Oct 22'!$K71/$K$2</f>
        <v>1</v>
      </c>
      <c r="M71" s="65"/>
    </row>
    <row r="72" spans="1:13" s="2" customFormat="1" ht="12.75" x14ac:dyDescent="0.2">
      <c r="A72" s="62"/>
      <c r="B72" s="62"/>
      <c r="C72" s="62"/>
      <c r="D72" s="79"/>
      <c r="E72" s="80"/>
      <c r="F72" s="36"/>
      <c r="G72" s="81"/>
      <c r="H72" s="62"/>
      <c r="I72" s="62"/>
      <c r="J72" s="62"/>
      <c r="K72" s="62"/>
      <c r="L72" s="40"/>
      <c r="M72" s="62"/>
    </row>
    <row r="73" spans="1:13" s="2" customFormat="1" ht="12.75" x14ac:dyDescent="0.2">
      <c r="A73" s="62"/>
      <c r="B73" s="62"/>
      <c r="C73" s="62"/>
      <c r="D73" s="79"/>
      <c r="E73" s="80"/>
      <c r="F73" s="36"/>
      <c r="G73" s="81"/>
      <c r="H73" s="62"/>
      <c r="I73" s="62"/>
      <c r="J73" s="62"/>
      <c r="K73" s="62"/>
      <c r="L73" s="40"/>
      <c r="M73" s="62"/>
    </row>
    <row r="74" spans="1:13" s="2" customFormat="1" ht="12.75" x14ac:dyDescent="0.2">
      <c r="A74" s="62"/>
      <c r="B74" s="62"/>
      <c r="C74" s="62"/>
      <c r="D74" s="79"/>
      <c r="E74" s="80"/>
      <c r="F74" s="36"/>
      <c r="G74" s="81"/>
      <c r="H74" s="62"/>
      <c r="I74" s="62"/>
      <c r="J74" s="62"/>
      <c r="K74" s="62"/>
      <c r="L74" s="40"/>
      <c r="M74" s="62"/>
    </row>
    <row r="75" spans="1:13" s="2" customFormat="1" ht="12.75" x14ac:dyDescent="0.2">
      <c r="A75" s="62"/>
      <c r="B75" s="62"/>
      <c r="C75" s="62"/>
      <c r="D75" s="79"/>
      <c r="E75" s="80"/>
      <c r="F75" s="36"/>
      <c r="G75" s="81"/>
      <c r="H75" s="62"/>
      <c r="I75" s="62"/>
      <c r="J75" s="62"/>
      <c r="K75" s="62"/>
      <c r="L75" s="40"/>
      <c r="M75" s="62"/>
    </row>
    <row r="76" spans="1:13" s="2" customFormat="1" ht="12.75" x14ac:dyDescent="0.2">
      <c r="A76" s="62"/>
      <c r="B76" s="62"/>
      <c r="C76" s="62"/>
      <c r="D76" s="79"/>
      <c r="E76" s="80"/>
      <c r="F76" s="36"/>
      <c r="G76" s="81"/>
      <c r="H76" s="62"/>
      <c r="I76" s="62"/>
      <c r="J76" s="62"/>
      <c r="K76" s="62"/>
      <c r="L76" s="40"/>
      <c r="M76" s="62"/>
    </row>
    <row r="77" spans="1:13" s="2" customFormat="1" ht="12.75" x14ac:dyDescent="0.2">
      <c r="A77" s="62"/>
      <c r="B77" s="62"/>
      <c r="C77" s="62"/>
      <c r="D77" s="79"/>
      <c r="E77" s="80"/>
      <c r="F77" s="36"/>
      <c r="G77" s="81"/>
      <c r="H77" s="62"/>
      <c r="I77" s="62"/>
      <c r="J77" s="62"/>
      <c r="K77" s="62"/>
      <c r="L77" s="40"/>
      <c r="M77" s="62"/>
    </row>
    <row r="78" spans="1:13" s="2" customFormat="1" ht="12.75" x14ac:dyDescent="0.2">
      <c r="A78" s="62"/>
      <c r="B78" s="62"/>
      <c r="C78" s="62"/>
      <c r="D78" s="79"/>
      <c r="E78" s="80"/>
      <c r="F78" s="36"/>
      <c r="G78" s="81"/>
      <c r="H78" s="62"/>
      <c r="I78" s="62"/>
      <c r="J78" s="62"/>
      <c r="K78" s="62"/>
      <c r="L78" s="40"/>
      <c r="M78" s="62"/>
    </row>
    <row r="79" spans="1:13" s="2" customFormat="1" ht="12.75" x14ac:dyDescent="0.2">
      <c r="A79" s="62"/>
      <c r="B79" s="62"/>
      <c r="C79" s="62"/>
      <c r="D79" s="79"/>
      <c r="E79" s="80"/>
      <c r="F79" s="36"/>
      <c r="G79" s="81"/>
      <c r="H79" s="62"/>
      <c r="I79" s="62"/>
      <c r="J79" s="62"/>
      <c r="K79" s="62"/>
      <c r="L79" s="40"/>
      <c r="M79" s="62"/>
    </row>
    <row r="80" spans="1:13" s="2" customFormat="1" ht="12.75" x14ac:dyDescent="0.2">
      <c r="A80" s="62"/>
      <c r="B80" s="62"/>
      <c r="C80" s="62"/>
      <c r="D80" s="79"/>
      <c r="E80" s="80"/>
      <c r="F80" s="36"/>
      <c r="G80" s="81"/>
      <c r="H80" s="62"/>
      <c r="I80" s="62"/>
      <c r="J80" s="62"/>
      <c r="K80" s="62"/>
      <c r="L80" s="40"/>
      <c r="M80" s="62"/>
    </row>
    <row r="81" spans="1:13" s="2" customFormat="1" ht="12.75" x14ac:dyDescent="0.2"/>
    <row r="82" spans="1:13" s="2" customFormat="1" ht="12.75" x14ac:dyDescent="0.2"/>
    <row r="84" spans="1:13" s="2" customFormat="1" ht="12.75" x14ac:dyDescent="0.2">
      <c r="A84" s="82"/>
      <c r="B84" s="82"/>
      <c r="E84" s="82"/>
      <c r="F84" s="82"/>
      <c r="G84" s="82"/>
      <c r="H84" s="83"/>
      <c r="M84" s="82"/>
    </row>
    <row r="85" spans="1:13" s="2" customFormat="1" ht="12.75" x14ac:dyDescent="0.2">
      <c r="A85" s="82"/>
      <c r="B85" s="82"/>
      <c r="E85" s="82"/>
      <c r="F85" s="82"/>
      <c r="G85" s="82"/>
      <c r="H85" s="83"/>
      <c r="M85" s="82"/>
    </row>
    <row r="86" spans="1:13" s="2" customFormat="1" ht="12.75" x14ac:dyDescent="0.2">
      <c r="A86" s="84"/>
      <c r="B86" s="84"/>
    </row>
    <row r="87" spans="1:13" s="2" customFormat="1" ht="12.75" x14ac:dyDescent="0.2">
      <c r="A87" s="85"/>
      <c r="B87" s="85"/>
      <c r="E87" s="85"/>
      <c r="F87" s="84"/>
      <c r="G87" s="84"/>
      <c r="M87" s="86"/>
    </row>
    <row r="88" spans="1:13" s="2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H88"/>
  <sheetViews>
    <sheetView zoomScale="125" zoomScaleNormal="125" workbookViewId="0">
      <pane xSplit="2" topLeftCell="C1" activePane="topRight" state="frozen"/>
      <selection pane="topRight" activeCell="I4" sqref="I4"/>
    </sheetView>
  </sheetViews>
  <sheetFormatPr defaultColWidth="9.140625" defaultRowHeight="15" x14ac:dyDescent="0.25"/>
  <cols>
    <col min="1" max="2" width="15.140625" style="2" customWidth="1"/>
    <col min="3" max="3" width="29.28515625" style="2" customWidth="1"/>
    <col min="4" max="4" width="14.85546875" style="2" customWidth="1"/>
    <col min="5" max="5" width="27.42578125" style="2" customWidth="1"/>
    <col min="6" max="7" width="13.7109375" style="2" customWidth="1"/>
    <col min="8" max="8" width="16.5703125" style="2" customWidth="1"/>
    <col min="9" max="9" width="15.5703125" style="2" customWidth="1"/>
    <col min="10" max="10" width="13.42578125" customWidth="1"/>
    <col min="11" max="11" width="23.5703125" customWidth="1"/>
    <col min="12" max="12" width="13.42578125" customWidth="1"/>
    <col min="13" max="13" width="22.5703125" style="2" customWidth="1"/>
    <col min="14" max="16" width="10.85546875" style="2" customWidth="1"/>
    <col min="17" max="17" width="11.28515625" style="2" customWidth="1"/>
    <col min="18" max="1022" width="9.140625" style="2"/>
  </cols>
  <sheetData>
    <row r="1" spans="1:17" s="2" customFormat="1" ht="25.5" x14ac:dyDescent="0.2">
      <c r="A1" s="3"/>
      <c r="B1" s="3" t="s">
        <v>138</v>
      </c>
      <c r="C1" s="4">
        <v>44127</v>
      </c>
      <c r="D1" s="5"/>
      <c r="E1" s="6" t="s">
        <v>139</v>
      </c>
      <c r="F1" s="7"/>
      <c r="G1" s="8"/>
      <c r="K1" s="9" t="s">
        <v>140</v>
      </c>
      <c r="L1" s="9" t="s">
        <v>141</v>
      </c>
      <c r="M1" s="10" t="s">
        <v>142</v>
      </c>
    </row>
    <row r="2" spans="1:17" x14ac:dyDescent="0.25">
      <c r="A2" s="3"/>
      <c r="B2" s="3" t="s">
        <v>143</v>
      </c>
      <c r="C2" s="11">
        <v>8.0519999999999996</v>
      </c>
      <c r="D2" s="12"/>
      <c r="E2" s="13">
        <f>SUM(E25,E40,E50,E66,E27,E68)</f>
        <v>151973349.53800732</v>
      </c>
      <c r="F2" s="14"/>
      <c r="G2" s="15"/>
      <c r="H2" s="12"/>
      <c r="I2" s="12"/>
      <c r="J2" s="12"/>
      <c r="K2" s="13">
        <f>SUM(K25,K40,K50,K66,K27,K68:K68)</f>
        <v>169419720.31455731</v>
      </c>
      <c r="L2" s="16">
        <f>SUM(L50,L66,L40,L25,L27,L68)</f>
        <v>1</v>
      </c>
      <c r="M2" s="17">
        <f>K2/$C$6</f>
        <v>8.97656706241224</v>
      </c>
      <c r="N2" s="18"/>
    </row>
    <row r="3" spans="1:17" ht="26.25" x14ac:dyDescent="0.25">
      <c r="A3" s="3"/>
      <c r="B3" s="3" t="s">
        <v>144</v>
      </c>
      <c r="C3" s="19">
        <v>18873553.68</v>
      </c>
      <c r="D3" s="20"/>
      <c r="E3" s="6" t="s">
        <v>145</v>
      </c>
      <c r="F3" s="14"/>
      <c r="G3" s="15"/>
      <c r="H3" s="12"/>
      <c r="I3" s="12"/>
      <c r="J3" s="12"/>
      <c r="K3" s="6" t="s">
        <v>145</v>
      </c>
      <c r="L3" s="12"/>
      <c r="M3" s="10" t="s">
        <v>146</v>
      </c>
      <c r="N3" s="21"/>
    </row>
    <row r="4" spans="1:17" x14ac:dyDescent="0.25">
      <c r="A4" s="3"/>
      <c r="B4" s="3" t="s">
        <v>147</v>
      </c>
      <c r="C4" s="19">
        <v>0</v>
      </c>
      <c r="D4" s="20"/>
      <c r="E4" s="13">
        <f>SUM(E25,E66,E27)</f>
        <v>29710714.381647803</v>
      </c>
      <c r="F4" s="14"/>
      <c r="G4" s="15"/>
      <c r="H4" s="12"/>
      <c r="I4" s="12"/>
      <c r="J4" s="12"/>
      <c r="K4" s="13">
        <f>SUM(K25,K27,K66)</f>
        <v>29872899.642487269</v>
      </c>
      <c r="L4" s="12"/>
      <c r="M4" s="17">
        <f>K4/$C$6</f>
        <v>1.5827914630694642</v>
      </c>
      <c r="N4" s="21"/>
    </row>
    <row r="5" spans="1:17" x14ac:dyDescent="0.25">
      <c r="A5" s="3"/>
      <c r="B5" s="3" t="s">
        <v>148</v>
      </c>
      <c r="C5" s="19">
        <v>0</v>
      </c>
      <c r="D5" s="20"/>
      <c r="E5" s="14"/>
      <c r="F5" s="14"/>
      <c r="G5" s="22">
        <f>SUM(D25,D27,D40,D50,D66,D68:D68)</f>
        <v>1.0000230000000001</v>
      </c>
      <c r="H5" s="12"/>
      <c r="I5" s="12"/>
      <c r="J5" s="12"/>
      <c r="K5" s="12"/>
      <c r="L5" s="12"/>
      <c r="M5" s="12"/>
      <c r="N5" s="21"/>
    </row>
    <row r="6" spans="1:17" x14ac:dyDescent="0.25">
      <c r="A6" s="3"/>
      <c r="B6" s="3" t="s">
        <v>149</v>
      </c>
      <c r="C6" s="19">
        <f>C3+C4-C5</f>
        <v>18873553.68</v>
      </c>
      <c r="D6" s="20"/>
      <c r="E6" s="14"/>
      <c r="F6" s="14"/>
      <c r="G6" s="15"/>
      <c r="H6" s="12"/>
      <c r="I6" s="12"/>
      <c r="J6" s="12"/>
      <c r="K6" s="12"/>
      <c r="L6" s="12"/>
      <c r="M6" s="12"/>
      <c r="N6" s="21"/>
    </row>
    <row r="7" spans="1:17" x14ac:dyDescent="0.25">
      <c r="A7" s="23"/>
      <c r="B7" s="24"/>
      <c r="C7" s="24"/>
      <c r="D7" s="25"/>
      <c r="E7" s="26"/>
      <c r="F7" s="26"/>
      <c r="G7" s="26"/>
      <c r="H7" s="27"/>
      <c r="I7" s="27"/>
      <c r="J7" s="27"/>
      <c r="K7" s="12"/>
      <c r="L7" s="12"/>
      <c r="M7" s="12"/>
      <c r="N7" s="21"/>
    </row>
    <row r="8" spans="1:17" s="32" customFormat="1" ht="38.25" x14ac:dyDescent="0.2">
      <c r="A8" s="28" t="s">
        <v>150</v>
      </c>
      <c r="B8" s="28" t="s">
        <v>151</v>
      </c>
      <c r="C8" s="29" t="s">
        <v>1</v>
      </c>
      <c r="D8" s="29" t="s">
        <v>152</v>
      </c>
      <c r="E8" s="29" t="s">
        <v>153</v>
      </c>
      <c r="F8" s="29" t="s">
        <v>154</v>
      </c>
      <c r="G8" s="29" t="s">
        <v>155</v>
      </c>
      <c r="H8" s="29" t="s">
        <v>156</v>
      </c>
      <c r="I8" s="29" t="s">
        <v>157</v>
      </c>
      <c r="J8" s="29" t="s">
        <v>158</v>
      </c>
      <c r="K8" s="30" t="s">
        <v>159</v>
      </c>
      <c r="L8" s="30" t="s">
        <v>160</v>
      </c>
      <c r="M8" s="30" t="s">
        <v>161</v>
      </c>
      <c r="N8" s="31"/>
      <c r="Q8" s="33"/>
    </row>
    <row r="9" spans="1:17" s="43" customFormat="1" ht="12.75" x14ac:dyDescent="0.25">
      <c r="A9" s="34" t="s">
        <v>162</v>
      </c>
      <c r="B9" s="34" t="s">
        <v>46</v>
      </c>
      <c r="C9" s="34" t="s">
        <v>47</v>
      </c>
      <c r="D9" s="35">
        <v>1.2782E-2</v>
      </c>
      <c r="E9" s="36">
        <f>'Oct 23'!$D9*$C$6*$C$2</f>
        <v>1942478.6767852434</v>
      </c>
      <c r="F9" s="36">
        <v>534.5</v>
      </c>
      <c r="G9" s="37">
        <f>'Oct 23'!$E9/'Oct 23'!$F9</f>
        <v>3634.1977114784722</v>
      </c>
      <c r="H9" s="34">
        <v>3808</v>
      </c>
      <c r="I9" s="34">
        <f>ROUND(Table1389584567991011121314456267891011121314151617181920213456789101112131415161718[[#This Row],[Target Quantity]],0)</f>
        <v>3634</v>
      </c>
      <c r="J9" s="38">
        <f t="shared" ref="J9:J23" si="0">I9-H9</f>
        <v>-174</v>
      </c>
      <c r="K9" s="39">
        <f>'Oct 23'!$F9*'Oct 23'!$I9</f>
        <v>1942373</v>
      </c>
      <c r="L9" s="40">
        <f>'Oct 23'!$K9/$K$2</f>
        <v>1.1464857788654385E-2</v>
      </c>
      <c r="M9" s="41"/>
      <c r="N9" s="42"/>
      <c r="O9" s="87"/>
    </row>
    <row r="10" spans="1:17" s="43" customFormat="1" ht="12.75" customHeight="1" x14ac:dyDescent="0.25">
      <c r="A10" s="34" t="s">
        <v>162</v>
      </c>
      <c r="B10" s="34" t="s">
        <v>55</v>
      </c>
      <c r="C10" s="34" t="s">
        <v>56</v>
      </c>
      <c r="D10" s="35">
        <v>1.2782E-2</v>
      </c>
      <c r="E10" s="36">
        <f>'Oct 23'!$D10*$C$6*$C$2</f>
        <v>1942478.6767852434</v>
      </c>
      <c r="F10" s="36">
        <v>424</v>
      </c>
      <c r="G10" s="37">
        <f>'Oct 23'!$E10/'Oct 23'!$F10</f>
        <v>4581.3176339274605</v>
      </c>
      <c r="H10" s="34">
        <v>4653</v>
      </c>
      <c r="I10" s="34">
        <f>ROUND(Table1389584567991011121314456267891011121314151617181920213456789101112131415161718[[#This Row],[Target Quantity]],0)</f>
        <v>4581</v>
      </c>
      <c r="J10" s="38">
        <f t="shared" si="0"/>
        <v>-72</v>
      </c>
      <c r="K10" s="39">
        <f>'Oct 23'!$F10*'Oct 23'!$I10</f>
        <v>1942344</v>
      </c>
      <c r="L10" s="40">
        <f>'Oct 23'!$K10/$K$2</f>
        <v>1.1464686616137124E-2</v>
      </c>
      <c r="M10" s="41"/>
    </row>
    <row r="11" spans="1:17" s="43" customFormat="1" ht="12.75" customHeight="1" x14ac:dyDescent="0.25">
      <c r="A11" s="34" t="s">
        <v>162</v>
      </c>
      <c r="B11" s="34" t="s">
        <v>37</v>
      </c>
      <c r="C11" s="34" t="s">
        <v>38</v>
      </c>
      <c r="D11" s="35">
        <v>1.2782E-2</v>
      </c>
      <c r="E11" s="36">
        <f>'Oct 23'!$D11*$C$6*$C$2</f>
        <v>1942478.6767852434</v>
      </c>
      <c r="F11" s="36">
        <v>81.5</v>
      </c>
      <c r="G11" s="37">
        <f>'Oct 23'!$E11/'Oct 23'!$F11</f>
        <v>23834.09419368397</v>
      </c>
      <c r="H11" s="34">
        <v>24834</v>
      </c>
      <c r="I11" s="34">
        <f>ROUND(Table1389584567991011121314456267891011121314151617181920213456789101112131415161718[[#This Row],[Target Quantity]],0)</f>
        <v>23834</v>
      </c>
      <c r="J11" s="38">
        <f t="shared" si="0"/>
        <v>-1000</v>
      </c>
      <c r="K11" s="39">
        <f>'Oct 23'!$F11*'Oct 23'!$I11</f>
        <v>1942471</v>
      </c>
      <c r="L11" s="40">
        <f>'Oct 23'!$K11/$K$2</f>
        <v>1.1465436233712718E-2</v>
      </c>
      <c r="M11" s="41"/>
    </row>
    <row r="12" spans="1:17" s="44" customFormat="1" ht="12.75" customHeight="1" x14ac:dyDescent="0.25">
      <c r="A12" s="34" t="s">
        <v>162</v>
      </c>
      <c r="B12" s="34" t="s">
        <v>23</v>
      </c>
      <c r="C12" s="34" t="s">
        <v>24</v>
      </c>
      <c r="D12" s="35">
        <v>1.2782E-2</v>
      </c>
      <c r="E12" s="36">
        <f>'Oct 23'!$D12*$C$6*$C$2</f>
        <v>1942478.6767852434</v>
      </c>
      <c r="F12" s="36">
        <v>214.89996817651399</v>
      </c>
      <c r="G12" s="37">
        <f>'Oct 23'!$E12/'Oct 23'!$F12</f>
        <v>9038.9900625286973</v>
      </c>
      <c r="H12" s="34">
        <v>9427</v>
      </c>
      <c r="I12" s="34">
        <f>ROUND(Table1389584567991011121314456267891011121314151617181920213456789101112131415161718[[#This Row],[Target Quantity]],0)</f>
        <v>9039</v>
      </c>
      <c r="J12" s="38">
        <f t="shared" si="0"/>
        <v>-388</v>
      </c>
      <c r="K12" s="39">
        <f>'Oct 23'!$F12*'Oct 23'!$I12</f>
        <v>1942480.8123475099</v>
      </c>
      <c r="L12" s="40">
        <f>'Oct 23'!$K12/$K$2</f>
        <v>1.1465494151099735E-2</v>
      </c>
      <c r="M12" s="34"/>
    </row>
    <row r="13" spans="1:17" s="44" customFormat="1" ht="12.75" customHeight="1" x14ac:dyDescent="0.25">
      <c r="A13" s="34" t="s">
        <v>162</v>
      </c>
      <c r="B13" s="34" t="s">
        <v>60</v>
      </c>
      <c r="C13" s="34" t="s">
        <v>61</v>
      </c>
      <c r="D13" s="35">
        <v>1.2782E-2</v>
      </c>
      <c r="E13" s="36">
        <f>'Oct 23'!$D13*$C$6*$C$2</f>
        <v>1942478.6767852434</v>
      </c>
      <c r="F13" s="36">
        <v>523.21005475360903</v>
      </c>
      <c r="G13" s="37">
        <f>'Oct 23'!$E13/'Oct 23'!$F13</f>
        <v>3712.617254077808</v>
      </c>
      <c r="H13" s="34">
        <v>4018</v>
      </c>
      <c r="I13" s="34">
        <f>ROUND(Table1389584567991011121314456267891011121314151617181920213456789101112131415161718[[#This Row],[Target Quantity]],0)</f>
        <v>3713</v>
      </c>
      <c r="J13" s="38">
        <f t="shared" si="0"/>
        <v>-305</v>
      </c>
      <c r="K13" s="39">
        <f>'Oct 23'!$F13*'Oct 23'!$I13</f>
        <v>1942678.9333001503</v>
      </c>
      <c r="L13" s="40">
        <f>'Oct 23'!$K13/$K$2</f>
        <v>1.1466663560140623E-2</v>
      </c>
      <c r="M13" s="34"/>
    </row>
    <row r="14" spans="1:17" s="44" customFormat="1" ht="12.75" customHeight="1" x14ac:dyDescent="0.25">
      <c r="A14" s="34" t="s">
        <v>162</v>
      </c>
      <c r="B14" s="34" t="s">
        <v>165</v>
      </c>
      <c r="C14" s="34" t="s">
        <v>166</v>
      </c>
      <c r="D14" s="35">
        <v>1.2782E-2</v>
      </c>
      <c r="E14" s="36">
        <f>'Oct 23'!$D14*$C$6*$C$2</f>
        <v>1942478.6767852434</v>
      </c>
      <c r="F14" s="36">
        <v>279.40995850622397</v>
      </c>
      <c r="G14" s="37">
        <f>'Oct 23'!$E14/'Oct 23'!$F14</f>
        <v>6952.0738887407051</v>
      </c>
      <c r="H14" s="34">
        <v>7230</v>
      </c>
      <c r="I14" s="34">
        <f>ROUND(Table1389584567991011121314456267891011121314151617181920213456789101112131415161718[[#This Row],[Target Quantity]],0)</f>
        <v>6952</v>
      </c>
      <c r="J14" s="38">
        <f t="shared" si="0"/>
        <v>-278</v>
      </c>
      <c r="K14" s="39">
        <f>'Oct 23'!$F14*'Oct 23'!$I14</f>
        <v>1942458.031535269</v>
      </c>
      <c r="L14" s="40">
        <f>'Oct 23'!$K14/$K$2</f>
        <v>1.1465359687341924E-2</v>
      </c>
      <c r="M14" s="34"/>
    </row>
    <row r="15" spans="1:17" s="44" customFormat="1" ht="12.75" customHeight="1" x14ac:dyDescent="0.25">
      <c r="A15" s="34" t="s">
        <v>162</v>
      </c>
      <c r="B15" s="34" t="s">
        <v>43</v>
      </c>
      <c r="C15" s="34" t="s">
        <v>44</v>
      </c>
      <c r="D15" s="35">
        <v>1.2782E-2</v>
      </c>
      <c r="E15" s="36">
        <f>'Oct 23'!$D15*$C$6*$C$2</f>
        <v>1942478.6767852434</v>
      </c>
      <c r="F15" s="36">
        <v>1294.31964624131</v>
      </c>
      <c r="G15" s="37">
        <f>'Oct 23'!$E15/'Oct 23'!$F15</f>
        <v>1500.7719943262703</v>
      </c>
      <c r="H15" s="34">
        <v>1583</v>
      </c>
      <c r="I15" s="34">
        <f>ROUND(Table1389584567991011121314456267891011121314151617181920213456789101112131415161718[[#This Row],[Target Quantity]],0)</f>
        <v>1501</v>
      </c>
      <c r="J15" s="38">
        <f t="shared" si="0"/>
        <v>-82</v>
      </c>
      <c r="K15" s="39">
        <f>'Oct 23'!$F15*'Oct 23'!$I15</f>
        <v>1942773.7890082062</v>
      </c>
      <c r="L15" s="40">
        <f>'Oct 23'!$K15/$K$2</f>
        <v>1.1467223446013882E-2</v>
      </c>
      <c r="M15" s="34"/>
    </row>
    <row r="16" spans="1:17" s="44" customFormat="1" ht="12.75" customHeight="1" x14ac:dyDescent="0.25">
      <c r="A16" s="34" t="s">
        <v>162</v>
      </c>
      <c r="B16" s="34" t="s">
        <v>167</v>
      </c>
      <c r="C16" s="34" t="s">
        <v>168</v>
      </c>
      <c r="D16" s="35">
        <v>1.2782E-2</v>
      </c>
      <c r="E16" s="36">
        <f>'Oct 23'!$D16*$C$6*$C$2</f>
        <v>1942478.6767852434</v>
      </c>
      <c r="F16" s="36">
        <v>172.99000336021501</v>
      </c>
      <c r="G16" s="37">
        <f>'Oct 23'!$E16/'Oct 23'!$F16</f>
        <v>11228.849292178134</v>
      </c>
      <c r="H16" s="34">
        <v>11904</v>
      </c>
      <c r="I16" s="34">
        <f>ROUND(Table1389584567991011121314456267891011121314151617181920213456789101112131415161718[[#This Row],[Target Quantity]],0)</f>
        <v>11229</v>
      </c>
      <c r="J16" s="38">
        <f t="shared" si="0"/>
        <v>-675</v>
      </c>
      <c r="K16" s="39">
        <f>'Oct 23'!$F16*'Oct 23'!$I16</f>
        <v>1942504.7477318544</v>
      </c>
      <c r="L16" s="40">
        <f>'Oct 23'!$K16/$K$2</f>
        <v>1.1465635429720076E-2</v>
      </c>
      <c r="M16" s="34"/>
    </row>
    <row r="17" spans="1:15" s="44" customFormat="1" ht="12.75" customHeight="1" x14ac:dyDescent="0.25">
      <c r="A17" s="34" t="s">
        <v>162</v>
      </c>
      <c r="B17" s="34" t="s">
        <v>28</v>
      </c>
      <c r="C17" s="34" t="s">
        <v>29</v>
      </c>
      <c r="D17" s="35">
        <v>1.2782E-2</v>
      </c>
      <c r="E17" s="36">
        <f>'Oct 23'!$D17*$C$6*$C$2</f>
        <v>1942478.6767852434</v>
      </c>
      <c r="F17" s="36">
        <v>275.95002745744102</v>
      </c>
      <c r="G17" s="37">
        <f>'Oct 23'!$E17/'Oct 23'!$F17</f>
        <v>7039.2407447208043</v>
      </c>
      <c r="H17" s="34">
        <v>7284</v>
      </c>
      <c r="I17" s="34">
        <f>ROUND(Table1389584567991011121314456267891011121314151617181920213456789101112131415161718[[#This Row],[Target Quantity]],0)</f>
        <v>7039</v>
      </c>
      <c r="J17" s="38">
        <f t="shared" si="0"/>
        <v>-245</v>
      </c>
      <c r="K17" s="39">
        <f>'Oct 23'!$F17*'Oct 23'!$I17</f>
        <v>1942412.2432729274</v>
      </c>
      <c r="L17" s="40">
        <f>'Oct 23'!$K17/$K$2</f>
        <v>1.1465089422096198E-2</v>
      </c>
      <c r="M17" s="34"/>
    </row>
    <row r="18" spans="1:15" s="44" customFormat="1" ht="12.75" customHeight="1" x14ac:dyDescent="0.25">
      <c r="A18" s="34" t="s">
        <v>162</v>
      </c>
      <c r="B18" s="34" t="s">
        <v>19</v>
      </c>
      <c r="C18" s="34" t="s">
        <v>20</v>
      </c>
      <c r="D18" s="35">
        <v>1.2782E-2</v>
      </c>
      <c r="E18" s="36">
        <f>'Oct 23'!$D18*$C$6*$C$2</f>
        <v>1942478.6767852434</v>
      </c>
      <c r="F18" s="36">
        <v>1300.2900516795901</v>
      </c>
      <c r="G18" s="37">
        <f>'Oct 23'!$E18/'Oct 23'!$F18</f>
        <v>1493.8810569811988</v>
      </c>
      <c r="H18" s="34">
        <v>1548</v>
      </c>
      <c r="I18" s="34">
        <f>ROUND(Table1389584567991011121314456267891011121314151617181920213456789101112131415161718[[#This Row],[Target Quantity]],0)</f>
        <v>1494</v>
      </c>
      <c r="J18" s="38">
        <f t="shared" si="0"/>
        <v>-54</v>
      </c>
      <c r="K18" s="39">
        <f>'Oct 23'!$F18*'Oct 23'!$I18</f>
        <v>1942633.3372093076</v>
      </c>
      <c r="L18" s="40">
        <f>'Oct 23'!$K18/$K$2</f>
        <v>1.1466394429187282E-2</v>
      </c>
      <c r="M18" s="34"/>
    </row>
    <row r="19" spans="1:15" s="44" customFormat="1" ht="12.75" customHeight="1" x14ac:dyDescent="0.25">
      <c r="A19" s="34" t="s">
        <v>162</v>
      </c>
      <c r="B19" s="34" t="s">
        <v>25</v>
      </c>
      <c r="C19" s="34" t="s">
        <v>26</v>
      </c>
      <c r="D19" s="35">
        <v>6.391E-3</v>
      </c>
      <c r="E19" s="36">
        <f>'Oct 23'!$D19*$C$6*$C$2</f>
        <v>971239.33839262172</v>
      </c>
      <c r="F19" s="36">
        <v>18.350000000000001</v>
      </c>
      <c r="G19" s="37">
        <f>'Oct 23'!$E19/'Oct 23'!$F19</f>
        <v>52928.574299325432</v>
      </c>
      <c r="H19" s="34">
        <v>58020</v>
      </c>
      <c r="I19" s="34">
        <f>ROUND(Table1389584567991011121314456267891011121314151617181920213456789101112131415161718[[#This Row],[Target Quantity]],0)</f>
        <v>52929</v>
      </c>
      <c r="J19" s="38">
        <f t="shared" si="0"/>
        <v>-5091</v>
      </c>
      <c r="K19" s="39">
        <f>'Oct 23'!$F19*'Oct 23'!$I19</f>
        <v>971247.15</v>
      </c>
      <c r="L19" s="40">
        <f>'Oct 23'!$K19/$K$2</f>
        <v>5.7327868809882937E-3</v>
      </c>
      <c r="M19" s="34"/>
    </row>
    <row r="20" spans="1:15" s="44" customFormat="1" ht="12.75" customHeight="1" x14ac:dyDescent="0.25">
      <c r="A20" s="34" t="s">
        <v>162</v>
      </c>
      <c r="B20" s="34" t="s">
        <v>214</v>
      </c>
      <c r="C20" s="34" t="s">
        <v>215</v>
      </c>
      <c r="D20" s="35">
        <v>6.391E-3</v>
      </c>
      <c r="E20" s="36">
        <f>'Oct 23'!$D20*$C$6*$C$2</f>
        <v>971239.33839262172</v>
      </c>
      <c r="F20" s="36">
        <v>76.540001557996405</v>
      </c>
      <c r="G20" s="37">
        <f>'Oct 23'!$E20/'Oct 23'!$F20</f>
        <v>12689.303875394982</v>
      </c>
      <c r="H20" s="34">
        <v>12837</v>
      </c>
      <c r="I20" s="34">
        <f>ROUND(Table1389584567991011121314456267891011121314151617181920213456789101112131415161718[[#This Row],[Target Quantity]],0)</f>
        <v>12689</v>
      </c>
      <c r="J20" s="38">
        <f t="shared" si="0"/>
        <v>-148</v>
      </c>
      <c r="K20" s="39">
        <f>'Oct 23'!$F20*'Oct 23'!$I20</f>
        <v>971216.07976941636</v>
      </c>
      <c r="L20" s="40">
        <f>'Oct 23'!$K20/$K$2</f>
        <v>5.7326034889337791E-3</v>
      </c>
      <c r="M20" s="34"/>
    </row>
    <row r="21" spans="1:15" s="44" customFormat="1" ht="12.75" customHeight="1" x14ac:dyDescent="0.25">
      <c r="A21" s="34" t="s">
        <v>162</v>
      </c>
      <c r="B21" s="34" t="s">
        <v>216</v>
      </c>
      <c r="C21" s="34" t="s">
        <v>217</v>
      </c>
      <c r="D21" s="35">
        <v>6.391E-3</v>
      </c>
      <c r="E21" s="36">
        <f>'Oct 23'!$D21*$C$6*$C$2</f>
        <v>971239.33839262172</v>
      </c>
      <c r="F21" s="36">
        <v>70.589987911540902</v>
      </c>
      <c r="G21" s="37">
        <f>'Oct 23'!$E21/'Oct 23'!$F21</f>
        <v>13758.882344755746</v>
      </c>
      <c r="H21" s="34">
        <v>14063</v>
      </c>
      <c r="I21" s="34">
        <f>ROUND(Table1389584567991011121314456267891011121314151617181920213456789101112131415161718[[#This Row],[Target Quantity]],0)</f>
        <v>13759</v>
      </c>
      <c r="J21" s="38">
        <f t="shared" si="0"/>
        <v>-304</v>
      </c>
      <c r="K21" s="39">
        <f>'Oct 23'!$F21*'Oct 23'!$I21</f>
        <v>971247.64367489133</v>
      </c>
      <c r="L21" s="40">
        <f>'Oct 23'!$K21/$K$2</f>
        <v>5.7327897949046329E-3</v>
      </c>
      <c r="M21" s="34"/>
    </row>
    <row r="22" spans="1:15" s="44" customFormat="1" ht="12.75" customHeight="1" x14ac:dyDescent="0.25">
      <c r="A22" s="34" t="s">
        <v>162</v>
      </c>
      <c r="B22" s="34" t="s">
        <v>218</v>
      </c>
      <c r="C22" s="34" t="s">
        <v>219</v>
      </c>
      <c r="D22" s="35">
        <v>1.2782E-2</v>
      </c>
      <c r="E22" s="36">
        <f>'Oct 23'!$D22*$C$6*$C$2</f>
        <v>1942478.6767852434</v>
      </c>
      <c r="F22" s="36">
        <v>171.25</v>
      </c>
      <c r="G22" s="37">
        <f>'Oct 23'!$E22/'Oct 23'!$F22</f>
        <v>11342.94117830799</v>
      </c>
      <c r="H22" s="34">
        <v>11784</v>
      </c>
      <c r="I22" s="34">
        <f>ROUND(Table1389584567991011121314456267891011121314151617181920213456789101112131415161718[[#This Row],[Target Quantity]],0)</f>
        <v>11343</v>
      </c>
      <c r="J22" s="38">
        <f t="shared" si="0"/>
        <v>-441</v>
      </c>
      <c r="K22" s="39">
        <f>'Oct 23'!$F22*'Oct 23'!$I22</f>
        <v>1942488.75</v>
      </c>
      <c r="L22" s="40">
        <f>'Oct 23'!$K22/$K$2</f>
        <v>1.1465541003098283E-2</v>
      </c>
      <c r="M22" s="34"/>
    </row>
    <row r="23" spans="1:15" s="44" customFormat="1" ht="12.75" customHeight="1" x14ac:dyDescent="0.25">
      <c r="A23" s="34" t="s">
        <v>162</v>
      </c>
      <c r="B23" s="34" t="s">
        <v>40</v>
      </c>
      <c r="C23" s="34" t="s">
        <v>41</v>
      </c>
      <c r="D23" s="35">
        <v>6.391E-3</v>
      </c>
      <c r="E23" s="36">
        <f>'Oct 23'!$D23*$C$6*$C$2</f>
        <v>971239.33839262172</v>
      </c>
      <c r="F23" s="36">
        <v>33.899996870011599</v>
      </c>
      <c r="G23" s="37">
        <f>'Oct 23'!$E23/'Oct 23'!$F23</f>
        <v>28650.130621451277</v>
      </c>
      <c r="H23" s="34">
        <v>31949</v>
      </c>
      <c r="I23" s="34">
        <f>ROUND(Table1389584567991011121314456267891011121314151617181920213456789101112131415161718[[#This Row],[Target Quantity]],0)</f>
        <v>28650</v>
      </c>
      <c r="J23" s="38">
        <f t="shared" si="0"/>
        <v>-3299</v>
      </c>
      <c r="K23" s="39">
        <f>'Oct 23'!$F23*'Oct 23'!$I23</f>
        <v>971234.91032583232</v>
      </c>
      <c r="L23" s="40">
        <f>'Oct 23'!$K23/$K$2</f>
        <v>5.7327146363042331E-3</v>
      </c>
      <c r="M23" s="34"/>
    </row>
    <row r="24" spans="1:15" s="44" customFormat="1" ht="12.75" customHeight="1" x14ac:dyDescent="0.25">
      <c r="A24" s="34"/>
      <c r="B24" s="34"/>
      <c r="C24" s="34"/>
      <c r="D24" s="35"/>
      <c r="E24" s="36"/>
      <c r="F24" s="36"/>
      <c r="G24" s="37"/>
      <c r="H24" s="34"/>
      <c r="I24" s="34"/>
      <c r="J24" s="45"/>
      <c r="K24" s="36"/>
      <c r="L24" s="46"/>
      <c r="M24" s="34"/>
    </row>
    <row r="25" spans="1:15" s="53" customFormat="1" ht="12.75" customHeight="1" x14ac:dyDescent="0.25">
      <c r="A25" s="47" t="s">
        <v>175</v>
      </c>
      <c r="B25" s="47"/>
      <c r="C25" s="47"/>
      <c r="D25" s="48">
        <f>SUM(D9:D24)</f>
        <v>0.16616600000000001</v>
      </c>
      <c r="E25" s="49">
        <f>'Oct 23'!$D25*$C$6*$C$2</f>
        <v>25252222.798208166</v>
      </c>
      <c r="F25" s="50"/>
      <c r="G25" s="50"/>
      <c r="H25" s="47"/>
      <c r="I25" s="47"/>
      <c r="J25" s="51"/>
      <c r="K25" s="49">
        <f>SUM(K9:K24)</f>
        <v>25252564.428175364</v>
      </c>
      <c r="L25" s="52">
        <f>'Oct 23'!$K25/$K$2</f>
        <v>0.14905327656833317</v>
      </c>
      <c r="M25" s="47"/>
    </row>
    <row r="26" spans="1:15" s="44" customFormat="1" ht="12.75" customHeight="1" x14ac:dyDescent="0.25">
      <c r="A26" s="34"/>
      <c r="B26" s="34"/>
      <c r="C26" s="34"/>
      <c r="D26" s="35"/>
      <c r="E26" s="36"/>
      <c r="F26" s="36"/>
      <c r="G26" s="37"/>
      <c r="H26" s="34"/>
      <c r="I26" s="34"/>
      <c r="J26" s="45"/>
      <c r="K26" s="36"/>
      <c r="L26" s="40"/>
      <c r="M26" s="34"/>
    </row>
    <row r="27" spans="1:15" s="43" customFormat="1" ht="12.75" customHeight="1" x14ac:dyDescent="0.25">
      <c r="A27" s="54"/>
      <c r="B27" s="47" t="s">
        <v>34</v>
      </c>
      <c r="C27" s="54" t="s">
        <v>35</v>
      </c>
      <c r="D27" s="55">
        <v>1.9547999999999999E-2</v>
      </c>
      <c r="E27" s="56">
        <f>'Oct 23'!$D27*$C$6*$C$2</f>
        <v>2970706.7105146251</v>
      </c>
      <c r="F27" s="50">
        <v>18.230000640119201</v>
      </c>
      <c r="G27" s="57">
        <f>'Oct 23'!$E27/'Oct 23'!$F27</f>
        <v>162957.02721901826</v>
      </c>
      <c r="H27" s="54">
        <v>171843</v>
      </c>
      <c r="I27" s="54">
        <f>ROUND(Table1389584567991011121314456267891011121314151617181920213456789101112131415161718[[#This Row],[Target Quantity]],0)</f>
        <v>162957</v>
      </c>
      <c r="J27" s="58">
        <f>I27-H27</f>
        <v>-8886</v>
      </c>
      <c r="K27" s="59">
        <f>'Oct 23'!$F27*'Oct 23'!$I27</f>
        <v>2970706.2143119047</v>
      </c>
      <c r="L27" s="52">
        <f>'Oct 23'!$K27/$K$2</f>
        <v>1.7534595198222907E-2</v>
      </c>
      <c r="M27" s="47"/>
      <c r="O27" s="42"/>
    </row>
    <row r="28" spans="1:15" s="43" customFormat="1" ht="12.75" customHeight="1" x14ac:dyDescent="0.25">
      <c r="A28" s="34"/>
      <c r="B28" s="34"/>
      <c r="C28" s="34"/>
      <c r="D28" s="35"/>
      <c r="E28" s="36"/>
      <c r="F28" s="36"/>
      <c r="G28" s="37"/>
      <c r="H28" s="34"/>
      <c r="I28" s="34"/>
      <c r="J28" s="45"/>
      <c r="K28" s="39"/>
      <c r="L28" s="40"/>
      <c r="M28" s="34"/>
      <c r="O28" s="42"/>
    </row>
    <row r="29" spans="1:15" s="2" customFormat="1" ht="25.5" x14ac:dyDescent="0.2">
      <c r="A29" s="34" t="s">
        <v>176</v>
      </c>
      <c r="B29" s="60" t="s">
        <v>109</v>
      </c>
      <c r="C29" s="61" t="s">
        <v>110</v>
      </c>
      <c r="D29" s="35">
        <v>2.9322000000000001E-2</v>
      </c>
      <c r="E29" s="36">
        <f>'Oct 23'!$D29*$C$6*$C$2</f>
        <v>4456060.0657719374</v>
      </c>
      <c r="F29" s="36">
        <v>157333.73333333299</v>
      </c>
      <c r="G29" s="37">
        <f>'Oct 23'!$E29/'Oct 23'!$F29</f>
        <v>28.322343666320851</v>
      </c>
      <c r="H29" s="34">
        <v>30</v>
      </c>
      <c r="I29" s="34">
        <v>28</v>
      </c>
      <c r="J29" s="38">
        <f t="shared" ref="J29:J38" si="1">I29-H29</f>
        <v>-2</v>
      </c>
      <c r="K29" s="39">
        <f>'Oct 23'!$F29*'Oct 23'!$I29</f>
        <v>4405344.5333333239</v>
      </c>
      <c r="L29" s="40">
        <f>'Oct 23'!$K29/$K$2</f>
        <v>2.6002548730183428E-2</v>
      </c>
      <c r="M29" s="62"/>
    </row>
    <row r="30" spans="1:15" s="2" customFormat="1" ht="25.5" x14ac:dyDescent="0.2">
      <c r="A30" s="34" t="s">
        <v>176</v>
      </c>
      <c r="B30" s="60" t="s">
        <v>115</v>
      </c>
      <c r="C30" s="61" t="s">
        <v>116</v>
      </c>
      <c r="D30" s="35">
        <v>2.9322000000000001E-2</v>
      </c>
      <c r="E30" s="36">
        <f>'Oct 23'!$D30*$C$6*$C$2</f>
        <v>4456060.0657719374</v>
      </c>
      <c r="F30" s="36">
        <v>212955.136363636</v>
      </c>
      <c r="G30" s="37">
        <f>'Oct 23'!$E30/'Oct 23'!$F30</f>
        <v>20.924877144840963</v>
      </c>
      <c r="H30" s="34">
        <v>22</v>
      </c>
      <c r="I30" s="34">
        <v>21</v>
      </c>
      <c r="J30" s="38">
        <f t="shared" si="1"/>
        <v>-1</v>
      </c>
      <c r="K30" s="39">
        <f>'Oct 23'!$F30*'Oct 23'!$I30</f>
        <v>4472057.8636363558</v>
      </c>
      <c r="L30" s="40">
        <f>'Oct 23'!$K30/$K$2</f>
        <v>2.6396324202006702E-2</v>
      </c>
      <c r="M30" s="62"/>
    </row>
    <row r="31" spans="1:15" s="2" customFormat="1" ht="25.5" x14ac:dyDescent="0.2">
      <c r="A31" s="34" t="s">
        <v>176</v>
      </c>
      <c r="B31" s="60" t="s">
        <v>121</v>
      </c>
      <c r="C31" s="61" t="s">
        <v>122</v>
      </c>
      <c r="D31" s="35">
        <v>2.9322000000000001E-2</v>
      </c>
      <c r="E31" s="36">
        <f>'Oct 23'!$D31*$C$6*$C$2</f>
        <v>4456060.0657719374</v>
      </c>
      <c r="F31" s="36">
        <v>172010.51851851901</v>
      </c>
      <c r="G31" s="37">
        <f>'Oct 23'!$E31/'Oct 23'!$F31</f>
        <v>25.905741719464608</v>
      </c>
      <c r="H31" s="34">
        <v>27</v>
      </c>
      <c r="I31" s="34">
        <v>26</v>
      </c>
      <c r="J31" s="38">
        <f t="shared" si="1"/>
        <v>-1</v>
      </c>
      <c r="K31" s="39">
        <f>'Oct 23'!$F31*'Oct 23'!$I31</f>
        <v>4472273.4814814944</v>
      </c>
      <c r="L31" s="40">
        <f>'Oct 23'!$K31/$K$2</f>
        <v>2.6397596886465976E-2</v>
      </c>
      <c r="M31" s="62"/>
    </row>
    <row r="32" spans="1:15" s="2" customFormat="1" ht="25.5" x14ac:dyDescent="0.2">
      <c r="A32" s="34" t="s">
        <v>176</v>
      </c>
      <c r="B32" s="60" t="s">
        <v>124</v>
      </c>
      <c r="C32" s="61" t="s">
        <v>125</v>
      </c>
      <c r="D32" s="35">
        <v>2.9322000000000001E-2</v>
      </c>
      <c r="E32" s="36">
        <f>'Oct 23'!$D32*$C$6*$C$2</f>
        <v>4456060.0657719374</v>
      </c>
      <c r="F32" s="36">
        <v>125559.5</v>
      </c>
      <c r="G32" s="37">
        <f>'Oct 23'!$E32/'Oct 23'!$F32</f>
        <v>35.48962894700869</v>
      </c>
      <c r="H32" s="34">
        <v>38</v>
      </c>
      <c r="I32" s="34">
        <v>35</v>
      </c>
      <c r="J32" s="38">
        <f t="shared" si="1"/>
        <v>-3</v>
      </c>
      <c r="K32" s="39">
        <f>'Oct 23'!$F32*'Oct 23'!$I32</f>
        <v>4394582.5</v>
      </c>
      <c r="L32" s="40">
        <f>'Oct 23'!$K32/$K$2</f>
        <v>2.5939025822027624E-2</v>
      </c>
      <c r="M32" s="62"/>
    </row>
    <row r="33" spans="1:13" s="2" customFormat="1" ht="25.5" x14ac:dyDescent="0.2">
      <c r="A33" s="34" t="s">
        <v>176</v>
      </c>
      <c r="B33" s="60" t="s">
        <v>127</v>
      </c>
      <c r="C33" s="61" t="s">
        <v>128</v>
      </c>
      <c r="D33" s="35">
        <v>2.9322000000000001E-2</v>
      </c>
      <c r="E33" s="36">
        <f>'Oct 23'!$D33*$C$6*$C$2</f>
        <v>4456060.0657719374</v>
      </c>
      <c r="F33" s="36">
        <v>138286.05882352899</v>
      </c>
      <c r="G33" s="37">
        <f>'Oct 23'!$E33/'Oct 23'!$F33</f>
        <v>32.22349457119499</v>
      </c>
      <c r="H33" s="34">
        <v>34</v>
      </c>
      <c r="I33" s="34">
        <v>32</v>
      </c>
      <c r="J33" s="38">
        <f t="shared" si="1"/>
        <v>-2</v>
      </c>
      <c r="K33" s="39">
        <f>'Oct 23'!$F33*'Oct 23'!$I33</f>
        <v>4425153.8823529277</v>
      </c>
      <c r="L33" s="40">
        <f>'Oct 23'!$K33/$K$2</f>
        <v>2.6119473424562716E-2</v>
      </c>
      <c r="M33" s="62"/>
    </row>
    <row r="34" spans="1:13" s="2" customFormat="1" ht="25.5" x14ac:dyDescent="0.2">
      <c r="A34" s="34" t="s">
        <v>176</v>
      </c>
      <c r="B34" s="60" t="s">
        <v>135</v>
      </c>
      <c r="C34" s="61" t="s">
        <v>136</v>
      </c>
      <c r="D34" s="35">
        <v>2.9322000000000001E-2</v>
      </c>
      <c r="E34" s="36">
        <f>'Oct 23'!$D34*$C$6*$C$2</f>
        <v>4456060.0657719374</v>
      </c>
      <c r="F34" s="36">
        <v>220825</v>
      </c>
      <c r="G34" s="37">
        <f>'Oct 23'!$E34/'Oct 23'!$F34</f>
        <v>20.179146680728799</v>
      </c>
      <c r="H34" s="34">
        <v>21</v>
      </c>
      <c r="I34" s="34">
        <v>20</v>
      </c>
      <c r="J34" s="38">
        <f t="shared" si="1"/>
        <v>-1</v>
      </c>
      <c r="K34" s="39">
        <f>'Oct 23'!$F34*'Oct 23'!$I34</f>
        <v>4416500</v>
      </c>
      <c r="L34" s="40">
        <f>'Oct 23'!$K34/$K$2</f>
        <v>2.6068393878823527E-2</v>
      </c>
      <c r="M34" s="62"/>
    </row>
    <row r="35" spans="1:13" s="43" customFormat="1" ht="25.5" customHeight="1" x14ac:dyDescent="0.25">
      <c r="A35" s="34" t="s">
        <v>177</v>
      </c>
      <c r="B35" s="34" t="s">
        <v>76</v>
      </c>
      <c r="C35" s="34" t="s">
        <v>77</v>
      </c>
      <c r="D35" s="35">
        <v>2.9322000000000001E-2</v>
      </c>
      <c r="E35" s="36">
        <f>'Oct 23'!$D35*$C$6*$C$2</f>
        <v>4456060.0657719374</v>
      </c>
      <c r="F35" s="36">
        <v>115058.463414634</v>
      </c>
      <c r="G35" s="37">
        <f>'Oct 23'!$E35/'Oct 23'!$F35</f>
        <v>38.728659618143155</v>
      </c>
      <c r="H35" s="34">
        <v>41</v>
      </c>
      <c r="I35" s="34">
        <v>39</v>
      </c>
      <c r="J35" s="38">
        <f t="shared" si="1"/>
        <v>-2</v>
      </c>
      <c r="K35" s="39">
        <f>'Oct 23'!$F35*'Oct 23'!$I35</f>
        <v>4487280.0731707262</v>
      </c>
      <c r="L35" s="40">
        <f>'Oct 23'!$K35/$K$2</f>
        <v>2.6486173302844005E-2</v>
      </c>
      <c r="M35" s="41"/>
    </row>
    <row r="36" spans="1:13" s="43" customFormat="1" ht="25.5" x14ac:dyDescent="0.25">
      <c r="A36" s="34" t="s">
        <v>177</v>
      </c>
      <c r="B36" s="34" t="s">
        <v>71</v>
      </c>
      <c r="C36" s="34" t="s">
        <v>72</v>
      </c>
      <c r="D36" s="35">
        <v>2.9322000000000001E-2</v>
      </c>
      <c r="E36" s="36">
        <f>'Oct 23'!$D36*$C$6*$C$2</f>
        <v>4456060.0657719374</v>
      </c>
      <c r="F36" s="36">
        <v>134530.91428571401</v>
      </c>
      <c r="G36" s="37">
        <f>'Oct 23'!$E36/'Oct 23'!$F36</f>
        <v>33.122944933743987</v>
      </c>
      <c r="H36" s="34">
        <v>35</v>
      </c>
      <c r="I36" s="34">
        <v>33</v>
      </c>
      <c r="J36" s="38">
        <f t="shared" si="1"/>
        <v>-2</v>
      </c>
      <c r="K36" s="39">
        <f>'Oct 23'!$F36*'Oct 23'!$I36</f>
        <v>4439520.1714285621</v>
      </c>
      <c r="L36" s="40">
        <f>'Oct 23'!$K36/$K$2</f>
        <v>2.6204270454382863E-2</v>
      </c>
      <c r="M36" s="41"/>
    </row>
    <row r="37" spans="1:13" s="43" customFormat="1" ht="25.5" x14ac:dyDescent="0.25">
      <c r="A37" s="34" t="s">
        <v>177</v>
      </c>
      <c r="B37" s="34" t="s">
        <v>67</v>
      </c>
      <c r="C37" s="34" t="s">
        <v>68</v>
      </c>
      <c r="D37" s="35">
        <v>2.9322000000000001E-2</v>
      </c>
      <c r="E37" s="36">
        <f>'Oct 23'!$D37*$C$6*$C$2</f>
        <v>4456060.0657719374</v>
      </c>
      <c r="F37" s="36">
        <v>176352.555555556</v>
      </c>
      <c r="G37" s="37">
        <f>'Oct 23'!$E37/'Oct 23'!$F37</f>
        <v>25.267907526115511</v>
      </c>
      <c r="H37" s="34">
        <v>27</v>
      </c>
      <c r="I37" s="34">
        <v>25</v>
      </c>
      <c r="J37" s="38">
        <f t="shared" si="1"/>
        <v>-2</v>
      </c>
      <c r="K37" s="39">
        <f>'Oct 23'!$F37*'Oct 23'!$I37</f>
        <v>4408813.8888889002</v>
      </c>
      <c r="L37" s="40">
        <f>'Oct 23'!$K37/$K$2</f>
        <v>2.6023026603415274E-2</v>
      </c>
      <c r="M37" s="41"/>
    </row>
    <row r="38" spans="1:13" s="43" customFormat="1" ht="25.5" x14ac:dyDescent="0.25">
      <c r="A38" s="34" t="s">
        <v>177</v>
      </c>
      <c r="B38" s="34" t="s">
        <v>80</v>
      </c>
      <c r="C38" s="34" t="s">
        <v>81</v>
      </c>
      <c r="D38" s="35">
        <v>2.9322000000000001E-2</v>
      </c>
      <c r="E38" s="36">
        <f>'Oct 23'!$D38*$C$6*$C$2</f>
        <v>4456060.0657719374</v>
      </c>
      <c r="F38" s="36">
        <v>266719.72222222202</v>
      </c>
      <c r="G38" s="37">
        <f>'Oct 23'!$E38/'Oct 23'!$F38</f>
        <v>16.706901269413052</v>
      </c>
      <c r="H38" s="34">
        <v>18</v>
      </c>
      <c r="I38" s="34">
        <v>17</v>
      </c>
      <c r="J38" s="38">
        <f t="shared" si="1"/>
        <v>-1</v>
      </c>
      <c r="K38" s="39">
        <f>'Oct 23'!$F38*'Oct 23'!$I38</f>
        <v>4534235.2777777743</v>
      </c>
      <c r="L38" s="40">
        <f>'Oct 23'!$K38/$K$2</f>
        <v>2.676332642598615E-2</v>
      </c>
      <c r="M38" s="41"/>
    </row>
    <row r="39" spans="1:13" s="64" customFormat="1" ht="12.75" x14ac:dyDescent="0.2">
      <c r="A39" s="34"/>
      <c r="B39" s="61"/>
      <c r="C39" s="61"/>
      <c r="D39" s="35"/>
      <c r="E39" s="63"/>
      <c r="F39" s="36"/>
      <c r="G39" s="37"/>
      <c r="H39" s="34"/>
      <c r="I39" s="34"/>
      <c r="J39" s="45"/>
      <c r="K39" s="36"/>
      <c r="L39" s="46"/>
      <c r="M39" s="62"/>
    </row>
    <row r="40" spans="1:13" s="15" customFormat="1" ht="12.75" x14ac:dyDescent="0.2">
      <c r="A40" s="47" t="s">
        <v>182</v>
      </c>
      <c r="B40" s="65"/>
      <c r="C40" s="65"/>
      <c r="D40" s="55">
        <f>SUBTOTAL(9,D29:D39)</f>
        <v>0.29322000000000009</v>
      </c>
      <c r="E40" s="66">
        <f>'Oct 23'!$D40*$C$6*$C$2</f>
        <v>44560600.657719389</v>
      </c>
      <c r="F40" s="67"/>
      <c r="G40" s="68"/>
      <c r="H40" s="54"/>
      <c r="I40" s="54"/>
      <c r="J40" s="58"/>
      <c r="K40" s="66">
        <f>SUM(K29:K39)</f>
        <v>44455761.672070071</v>
      </c>
      <c r="L40" s="69">
        <f>'Oct 23'!$K40/$K$2</f>
        <v>0.2624001597306983</v>
      </c>
      <c r="M40" s="70"/>
    </row>
    <row r="41" spans="1:13" s="64" customFormat="1" ht="12.75" x14ac:dyDescent="0.2">
      <c r="A41" s="34"/>
      <c r="B41" s="61"/>
      <c r="C41" s="61"/>
      <c r="D41" s="35"/>
      <c r="E41" s="63"/>
      <c r="F41" s="36"/>
      <c r="G41" s="37"/>
      <c r="H41" s="34"/>
      <c r="I41" s="34"/>
      <c r="J41" s="45"/>
      <c r="K41" s="36"/>
      <c r="L41" s="40"/>
      <c r="M41" s="62"/>
    </row>
    <row r="42" spans="1:13" s="2" customFormat="1" ht="24.75" customHeight="1" x14ac:dyDescent="0.2">
      <c r="A42" s="34" t="s">
        <v>176</v>
      </c>
      <c r="B42" s="61" t="s">
        <v>183</v>
      </c>
      <c r="C42" s="61" t="s">
        <v>131</v>
      </c>
      <c r="D42" s="35">
        <v>7.1429000000000006E-2</v>
      </c>
      <c r="E42" s="36">
        <f>'Oct 23'!$D42*$C$6*$C$2</f>
        <v>10855054.717891814</v>
      </c>
      <c r="F42" s="36">
        <v>416329.15625</v>
      </c>
      <c r="G42" s="37">
        <f>'Oct 23'!$E42/'Oct 23'!$F42</f>
        <v>26.073251308331386</v>
      </c>
      <c r="H42" s="34">
        <v>32</v>
      </c>
      <c r="I42" s="34">
        <v>32</v>
      </c>
      <c r="J42" s="38">
        <f t="shared" ref="J42:J48" si="2">I42-H42</f>
        <v>0</v>
      </c>
      <c r="K42" s="39">
        <f>'Oct 23'!$F42*'Oct 23'!$I42</f>
        <v>13322533</v>
      </c>
      <c r="L42" s="40">
        <f>'Oct 23'!$K42/$K$2</f>
        <v>7.8636258962441849E-2</v>
      </c>
      <c r="M42" s="62"/>
    </row>
    <row r="43" spans="1:13" s="43" customFormat="1" ht="25.5" x14ac:dyDescent="0.25">
      <c r="A43" s="34" t="s">
        <v>177</v>
      </c>
      <c r="B43" s="34" t="s">
        <v>82</v>
      </c>
      <c r="C43" s="34" t="s">
        <v>83</v>
      </c>
      <c r="D43" s="35">
        <v>7.1429000000000006E-2</v>
      </c>
      <c r="E43" s="36">
        <f>'Oct 23'!$D43*$C$6*$C$2</f>
        <v>10855054.717891814</v>
      </c>
      <c r="F43" s="36">
        <v>249406.245283019</v>
      </c>
      <c r="G43" s="37">
        <f>'Oct 23'!$E43/'Oct 23'!$F43</f>
        <v>43.523588214777106</v>
      </c>
      <c r="H43" s="34">
        <v>53</v>
      </c>
      <c r="I43" s="34">
        <v>53</v>
      </c>
      <c r="J43" s="38">
        <f t="shared" si="2"/>
        <v>0</v>
      </c>
      <c r="K43" s="39">
        <f>'Oct 23'!$F43*'Oct 23'!$I43</f>
        <v>13218531.000000007</v>
      </c>
      <c r="L43" s="40">
        <f>'Oct 23'!$K43/$K$2</f>
        <v>7.8022387095537021E-2</v>
      </c>
      <c r="M43" s="41"/>
    </row>
    <row r="44" spans="1:13" s="43" customFormat="1" ht="25.5" x14ac:dyDescent="0.25">
      <c r="A44" s="34" t="s">
        <v>177</v>
      </c>
      <c r="B44" s="34" t="s">
        <v>184</v>
      </c>
      <c r="C44" s="34" t="s">
        <v>105</v>
      </c>
      <c r="D44" s="35">
        <v>7.1429000000000006E-2</v>
      </c>
      <c r="E44" s="36">
        <f>'Oct 23'!$D44*$C$6*$C$2</f>
        <v>10855054.717891814</v>
      </c>
      <c r="F44" s="36">
        <v>416335.46875</v>
      </c>
      <c r="G44" s="37">
        <f>'Oct 23'!$E44/'Oct 23'!$F44</f>
        <v>26.072855984340908</v>
      </c>
      <c r="H44" s="34">
        <v>32</v>
      </c>
      <c r="I44" s="34">
        <v>32</v>
      </c>
      <c r="J44" s="38">
        <f t="shared" si="2"/>
        <v>0</v>
      </c>
      <c r="K44" s="39">
        <f>'Oct 23'!$F44*'Oct 23'!$I44</f>
        <v>13322735</v>
      </c>
      <c r="L44" s="40">
        <f>'Oct 23'!$K44/$K$2</f>
        <v>7.8637451267562095E-2</v>
      </c>
      <c r="M44" s="41"/>
    </row>
    <row r="45" spans="1:13" s="43" customFormat="1" ht="25.5" x14ac:dyDescent="0.25">
      <c r="A45" s="34" t="s">
        <v>177</v>
      </c>
      <c r="B45" s="34" t="s">
        <v>107</v>
      </c>
      <c r="C45" s="34" t="s">
        <v>108</v>
      </c>
      <c r="D45" s="35">
        <v>7.1429000000000006E-2</v>
      </c>
      <c r="E45" s="36">
        <f>'Oct 23'!$D45*$C$6*$C$2</f>
        <v>10855054.717891814</v>
      </c>
      <c r="F45" s="36">
        <v>249796.43396226401</v>
      </c>
      <c r="G45" s="37">
        <f>'Oct 23'!$E45/'Oct 23'!$F45</f>
        <v>43.455603211419962</v>
      </c>
      <c r="H45" s="34">
        <v>53</v>
      </c>
      <c r="I45" s="34">
        <v>53</v>
      </c>
      <c r="J45" s="38">
        <f t="shared" si="2"/>
        <v>0</v>
      </c>
      <c r="K45" s="39">
        <f>'Oct 23'!$F45*'Oct 23'!$I45</f>
        <v>13239210.999999993</v>
      </c>
      <c r="L45" s="40">
        <f>'Oct 23'!$K45/$K$2</f>
        <v>7.8144450807846239E-2</v>
      </c>
      <c r="M45" s="41"/>
    </row>
    <row r="46" spans="1:13" s="43" customFormat="1" ht="25.5" x14ac:dyDescent="0.25">
      <c r="A46" s="34" t="s">
        <v>177</v>
      </c>
      <c r="B46" s="34" t="s">
        <v>85</v>
      </c>
      <c r="C46" s="34" t="s">
        <v>86</v>
      </c>
      <c r="D46" s="35">
        <v>7.1429000000000006E-2</v>
      </c>
      <c r="E46" s="36">
        <f>'Oct 23'!$D46*$C$6*$C$2</f>
        <v>10855054.717891814</v>
      </c>
      <c r="F46" s="36">
        <v>163532.548780488</v>
      </c>
      <c r="G46" s="37">
        <f>'Oct 23'!$E46/'Oct 23'!$F46</f>
        <v>66.378557656205217</v>
      </c>
      <c r="H46" s="34">
        <v>82</v>
      </c>
      <c r="I46" s="34">
        <v>82</v>
      </c>
      <c r="J46" s="38">
        <f t="shared" si="2"/>
        <v>0</v>
      </c>
      <c r="K46" s="39">
        <f>'Oct 23'!$F46*'Oct 23'!$I46</f>
        <v>13409669.000000015</v>
      </c>
      <c r="L46" s="40">
        <f>'Oct 23'!$K46/$K$2</f>
        <v>7.9150579254307712E-2</v>
      </c>
      <c r="M46" s="41"/>
    </row>
    <row r="47" spans="1:13" s="43" customFormat="1" ht="25.5" x14ac:dyDescent="0.25">
      <c r="A47" s="34" t="s">
        <v>177</v>
      </c>
      <c r="B47" s="34" t="s">
        <v>186</v>
      </c>
      <c r="C47" s="34" t="s">
        <v>187</v>
      </c>
      <c r="D47" s="35">
        <v>7.1429000000000006E-2</v>
      </c>
      <c r="E47" s="36">
        <f>'Oct 23'!$D47*$C$6*$C$2</f>
        <v>10855054.717891814</v>
      </c>
      <c r="F47" s="36">
        <v>175370.32894736799</v>
      </c>
      <c r="G47" s="37">
        <f>'Oct 23'!$E47/'Oct 23'!$F47</f>
        <v>61.897897911508309</v>
      </c>
      <c r="H47" s="34">
        <v>76</v>
      </c>
      <c r="I47" s="34">
        <v>76</v>
      </c>
      <c r="J47" s="38">
        <f t="shared" si="2"/>
        <v>0</v>
      </c>
      <c r="K47" s="39">
        <f>'Oct 23'!$F47*'Oct 23'!$I47</f>
        <v>13328144.999999966</v>
      </c>
      <c r="L47" s="40">
        <f>'Oct 23'!$K47/$K$2</f>
        <v>7.8669383795782075E-2</v>
      </c>
      <c r="M47" s="41"/>
    </row>
    <row r="48" spans="1:13" s="43" customFormat="1" ht="25.5" x14ac:dyDescent="0.25">
      <c r="A48" s="34" t="s">
        <v>177</v>
      </c>
      <c r="B48" s="34" t="s">
        <v>188</v>
      </c>
      <c r="C48" s="34" t="s">
        <v>189</v>
      </c>
      <c r="D48" s="35">
        <v>7.1429000000000006E-2</v>
      </c>
      <c r="E48" s="36">
        <f>'Oct 23'!$D48*$C$6*$C$2</f>
        <v>10855054.717891814</v>
      </c>
      <c r="F48" s="36">
        <v>712012.36842105305</v>
      </c>
      <c r="G48" s="37">
        <f>'Oct 23'!$E48/'Oct 23'!$F48</f>
        <v>15.245598530772444</v>
      </c>
      <c r="H48" s="34">
        <v>19</v>
      </c>
      <c r="I48" s="34">
        <v>19</v>
      </c>
      <c r="J48" s="38">
        <f t="shared" si="2"/>
        <v>0</v>
      </c>
      <c r="K48" s="39">
        <f>'Oct 23'!$F48*'Oct 23'!$I48</f>
        <v>13528235.000000007</v>
      </c>
      <c r="L48" s="40">
        <f>'Oct 23'!$K48/$K$2</f>
        <v>7.9850415139881448E-2</v>
      </c>
      <c r="M48" s="41"/>
    </row>
    <row r="49" spans="1:16" s="44" customFormat="1" ht="12.75" x14ac:dyDescent="0.25">
      <c r="A49" s="34"/>
      <c r="B49" s="34"/>
      <c r="C49" s="34"/>
      <c r="D49" s="35"/>
      <c r="E49" s="36"/>
      <c r="F49" s="36"/>
      <c r="G49" s="37"/>
      <c r="H49" s="34"/>
      <c r="I49" s="34"/>
      <c r="J49" s="45"/>
      <c r="K49" s="36"/>
      <c r="L49" s="40"/>
      <c r="M49" s="34"/>
    </row>
    <row r="50" spans="1:16" s="53" customFormat="1" ht="25.5" x14ac:dyDescent="0.25">
      <c r="A50" s="47" t="s">
        <v>190</v>
      </c>
      <c r="B50" s="47"/>
      <c r="C50" s="47"/>
      <c r="D50" s="55">
        <f>SUBTOTAL(9,D42:D49)</f>
        <v>0.50000300000000009</v>
      </c>
      <c r="E50" s="49">
        <f>'Oct 23'!$D50*$C$6*$C$2</f>
        <v>75985383.025242701</v>
      </c>
      <c r="F50" s="68"/>
      <c r="G50" s="68"/>
      <c r="H50" s="54"/>
      <c r="I50" s="54"/>
      <c r="J50" s="58"/>
      <c r="K50" s="49">
        <f>SUM(K42:K49)</f>
        <v>93369059</v>
      </c>
      <c r="L50" s="71">
        <f>'Oct 23'!$K50/$K$2</f>
        <v>0.55111092632335845</v>
      </c>
      <c r="M50" s="47"/>
    </row>
    <row r="51" spans="1:16" s="44" customFormat="1" ht="12.75" x14ac:dyDescent="0.25">
      <c r="A51" s="34"/>
      <c r="B51" s="34"/>
      <c r="C51" s="34"/>
      <c r="D51" s="35"/>
      <c r="E51" s="36"/>
      <c r="F51" s="36"/>
      <c r="G51" s="37"/>
      <c r="H51" s="34"/>
      <c r="I51" s="34"/>
      <c r="J51" s="45"/>
      <c r="K51" s="36"/>
      <c r="L51" s="40"/>
      <c r="M51" s="34"/>
    </row>
    <row r="52" spans="1:16" s="43" customFormat="1" ht="12.75" x14ac:dyDescent="0.25">
      <c r="A52" s="34"/>
      <c r="B52" s="34"/>
      <c r="C52" s="34"/>
      <c r="D52" s="35"/>
      <c r="E52" s="36"/>
      <c r="F52" s="36"/>
      <c r="G52" s="72"/>
      <c r="H52" s="34"/>
      <c r="I52" s="34"/>
      <c r="J52" s="38"/>
      <c r="K52" s="39"/>
      <c r="L52" s="40"/>
      <c r="M52" s="41"/>
    </row>
    <row r="53" spans="1:16" s="43" customFormat="1" ht="25.5" x14ac:dyDescent="0.25">
      <c r="A53" s="34" t="s">
        <v>191</v>
      </c>
      <c r="B53" s="34" t="s">
        <v>63</v>
      </c>
      <c r="C53" s="34" t="s">
        <v>64</v>
      </c>
      <c r="D53" s="35">
        <v>9.7900000000000005E-4</v>
      </c>
      <c r="E53" s="36">
        <f>'Oct 23'!$D53*$C$6*$C$2</f>
        <v>148778.48729250144</v>
      </c>
      <c r="F53" s="36">
        <v>45787.666666666701</v>
      </c>
      <c r="G53" s="72">
        <f>'Oct 23'!$E53/'Oct 23'!$F53</f>
        <v>3.2493135842803667</v>
      </c>
      <c r="H53" s="34">
        <v>3</v>
      </c>
      <c r="I53" s="34">
        <v>3</v>
      </c>
      <c r="J53" s="38">
        <f t="shared" ref="J53:J62" si="3">I53-H53</f>
        <v>0</v>
      </c>
      <c r="K53" s="39">
        <f>'Oct 23'!$F53*'Oct 23'!$I53</f>
        <v>137363.00000000012</v>
      </c>
      <c r="L53" s="40">
        <f>'Oct 23'!$K53/$K$2</f>
        <v>8.107851892622754E-4</v>
      </c>
      <c r="M53" s="41"/>
    </row>
    <row r="54" spans="1:16" s="43" customFormat="1" ht="25.5" x14ac:dyDescent="0.25">
      <c r="A54" s="34" t="s">
        <v>191</v>
      </c>
      <c r="B54" s="34" t="s">
        <v>73</v>
      </c>
      <c r="C54" s="34" t="s">
        <v>74</v>
      </c>
      <c r="D54" s="35">
        <v>9.7900000000000005E-4</v>
      </c>
      <c r="E54" s="36">
        <f>'Oct 23'!$D54*$C$6*$C$2</f>
        <v>148778.48729250144</v>
      </c>
      <c r="F54" s="36">
        <v>172734</v>
      </c>
      <c r="G54" s="72">
        <f>'Oct 23'!$E54/'Oct 23'!$F54</f>
        <v>0.86131559098093857</v>
      </c>
      <c r="H54" s="34">
        <v>1</v>
      </c>
      <c r="I54" s="34">
        <v>1</v>
      </c>
      <c r="J54" s="38">
        <f t="shared" si="3"/>
        <v>0</v>
      </c>
      <c r="K54" s="39">
        <f>'Oct 23'!$F54*'Oct 23'!$I54</f>
        <v>172734</v>
      </c>
      <c r="L54" s="40">
        <f>'Oct 23'!$K54/$K$2</f>
        <v>1.0195625378160767E-3</v>
      </c>
      <c r="M54" s="41"/>
      <c r="P54" s="43" t="s">
        <v>194</v>
      </c>
    </row>
    <row r="55" spans="1:16" s="43" customFormat="1" ht="25.5" x14ac:dyDescent="0.25">
      <c r="A55" s="34" t="s">
        <v>191</v>
      </c>
      <c r="B55" s="34" t="s">
        <v>92</v>
      </c>
      <c r="C55" s="34" t="s">
        <v>93</v>
      </c>
      <c r="D55" s="35">
        <v>9.7900000000000005E-4</v>
      </c>
      <c r="E55" s="36">
        <f>'Oct 23'!$D55*$C$6*$C$2</f>
        <v>148778.48729250144</v>
      </c>
      <c r="F55" s="36">
        <v>94863</v>
      </c>
      <c r="G55" s="72">
        <f>'Oct 23'!$E55/'Oct 23'!$F55</f>
        <v>1.5683510672496277</v>
      </c>
      <c r="H55" s="34">
        <v>2</v>
      </c>
      <c r="I55" s="34">
        <v>2</v>
      </c>
      <c r="J55" s="38">
        <f t="shared" si="3"/>
        <v>0</v>
      </c>
      <c r="K55" s="39">
        <f>'Oct 23'!$F55*'Oct 23'!$I55</f>
        <v>189726</v>
      </c>
      <c r="L55" s="40">
        <f>'Oct 23'!$K55/$K$2</f>
        <v>1.1198578279301874E-3</v>
      </c>
      <c r="M55" s="41"/>
    </row>
    <row r="56" spans="1:16" s="43" customFormat="1" ht="25.5" x14ac:dyDescent="0.25">
      <c r="A56" s="34" t="s">
        <v>191</v>
      </c>
      <c r="B56" s="34" t="s">
        <v>94</v>
      </c>
      <c r="C56" s="34" t="s">
        <v>95</v>
      </c>
      <c r="D56" s="35">
        <v>9.7900000000000005E-4</v>
      </c>
      <c r="E56" s="36">
        <f>'Oct 23'!$D56*$C$6*$C$2</f>
        <v>148778.48729250144</v>
      </c>
      <c r="F56" s="36">
        <v>240524</v>
      </c>
      <c r="G56" s="72">
        <f>'Oct 23'!$E56/'Oct 23'!$F56</f>
        <v>0.6185598413983695</v>
      </c>
      <c r="H56" s="34">
        <v>1</v>
      </c>
      <c r="I56" s="34">
        <v>1</v>
      </c>
      <c r="J56" s="38">
        <f t="shared" si="3"/>
        <v>0</v>
      </c>
      <c r="K56" s="39">
        <f>'Oct 23'!$F56*'Oct 23'!$I56</f>
        <v>240524</v>
      </c>
      <c r="L56" s="40">
        <f>'Oct 23'!$K56/$K$2</f>
        <v>1.4196930531665687E-3</v>
      </c>
      <c r="M56" s="41"/>
    </row>
    <row r="57" spans="1:16" s="43" customFormat="1" ht="25.5" x14ac:dyDescent="0.25">
      <c r="A57" s="34" t="s">
        <v>191</v>
      </c>
      <c r="B57" s="34" t="s">
        <v>200</v>
      </c>
      <c r="C57" s="34" t="s">
        <v>99</v>
      </c>
      <c r="D57" s="35">
        <v>9.7900000000000005E-4</v>
      </c>
      <c r="E57" s="36">
        <f>'Oct 23'!$D57*$C$6*$C$2</f>
        <v>148778.48729250144</v>
      </c>
      <c r="F57" s="36">
        <v>11944</v>
      </c>
      <c r="G57" s="72">
        <f>'Oct 23'!$E57/'Oct 23'!$F57</f>
        <v>12.456336846324634</v>
      </c>
      <c r="H57" s="34">
        <v>13</v>
      </c>
      <c r="I57" s="34">
        <v>12</v>
      </c>
      <c r="J57" s="38">
        <f t="shared" si="3"/>
        <v>-1</v>
      </c>
      <c r="K57" s="39">
        <f>'Oct 23'!$F57*'Oct 23'!$I57</f>
        <v>143328</v>
      </c>
      <c r="L57" s="40">
        <f>'Oct 23'!$K57/$K$2</f>
        <v>8.4599360531280852E-4</v>
      </c>
      <c r="M57" s="41"/>
    </row>
    <row r="58" spans="1:16" s="43" customFormat="1" ht="25.5" x14ac:dyDescent="0.25">
      <c r="A58" s="34" t="s">
        <v>191</v>
      </c>
      <c r="B58" s="34" t="s">
        <v>101</v>
      </c>
      <c r="C58" s="34" t="s">
        <v>102</v>
      </c>
      <c r="D58" s="35">
        <v>9.7900000000000005E-4</v>
      </c>
      <c r="E58" s="36">
        <f>'Oct 23'!$D58*$C$6*$C$2</f>
        <v>148778.48729250144</v>
      </c>
      <c r="F58" s="36">
        <v>93034.5</v>
      </c>
      <c r="G58" s="72">
        <f>'Oct 23'!$E58/'Oct 23'!$F58</f>
        <v>1.5991754380633145</v>
      </c>
      <c r="H58" s="34">
        <v>2</v>
      </c>
      <c r="I58" s="34">
        <v>2</v>
      </c>
      <c r="J58" s="38">
        <f t="shared" si="3"/>
        <v>0</v>
      </c>
      <c r="K58" s="39">
        <f>'Oct 23'!$F58*'Oct 23'!$I58</f>
        <v>186069</v>
      </c>
      <c r="L58" s="40">
        <f>'Oct 23'!$K58/$K$2</f>
        <v>1.0982723832534394E-3</v>
      </c>
      <c r="M58" s="41"/>
    </row>
    <row r="59" spans="1:16" s="2" customFormat="1" ht="25.5" x14ac:dyDescent="0.2">
      <c r="A59" s="34" t="s">
        <v>191</v>
      </c>
      <c r="B59" s="61" t="s">
        <v>132</v>
      </c>
      <c r="C59" s="61" t="s">
        <v>133</v>
      </c>
      <c r="D59" s="35">
        <v>9.7900000000000005E-4</v>
      </c>
      <c r="E59" s="36">
        <f>'Oct 23'!$D59*$C$6*$C$2</f>
        <v>148778.48729250144</v>
      </c>
      <c r="F59" s="36">
        <v>64319</v>
      </c>
      <c r="G59" s="72">
        <f>'Oct 23'!$E59/'Oct 23'!$F59</f>
        <v>2.3131343349943476</v>
      </c>
      <c r="H59" s="34">
        <v>2</v>
      </c>
      <c r="I59" s="34">
        <v>2</v>
      </c>
      <c r="J59" s="38">
        <f t="shared" si="3"/>
        <v>0</v>
      </c>
      <c r="K59" s="39">
        <f>'Oct 23'!$F59*'Oct 23'!$I59</f>
        <v>128638</v>
      </c>
      <c r="L59" s="40">
        <f>'Oct 23'!$K59/$K$2</f>
        <v>7.5928587156891226E-4</v>
      </c>
      <c r="M59" s="62"/>
    </row>
    <row r="60" spans="1:16" s="43" customFormat="1" ht="25.5" x14ac:dyDescent="0.25">
      <c r="A60" s="34" t="s">
        <v>191</v>
      </c>
      <c r="B60" s="34" t="s">
        <v>89</v>
      </c>
      <c r="C60" s="34" t="s">
        <v>90</v>
      </c>
      <c r="D60" s="35">
        <v>9.7900000000000005E-4</v>
      </c>
      <c r="E60" s="36">
        <f>'Oct 23'!$D60*$C$6*$C$2</f>
        <v>148778.48729250144</v>
      </c>
      <c r="F60" s="36">
        <v>31870</v>
      </c>
      <c r="G60" s="72">
        <f>'Oct 23'!$E60/'Oct 23'!$F60</f>
        <v>4.6682926668497471</v>
      </c>
      <c r="H60" s="34">
        <v>5</v>
      </c>
      <c r="I60" s="34">
        <v>5</v>
      </c>
      <c r="J60" s="38">
        <f t="shared" si="3"/>
        <v>0</v>
      </c>
      <c r="K60" s="39">
        <f>'Oct 23'!$F60*'Oct 23'!$I60</f>
        <v>159350</v>
      </c>
      <c r="L60" s="40">
        <f>'Oct 23'!$K60/$K$2</f>
        <v>9.405634698495481E-4</v>
      </c>
      <c r="M60" s="41"/>
    </row>
    <row r="61" spans="1:16" s="43" customFormat="1" ht="25.5" x14ac:dyDescent="0.25">
      <c r="A61" s="34" t="s">
        <v>191</v>
      </c>
      <c r="B61" s="34" t="s">
        <v>113</v>
      </c>
      <c r="C61" s="34" t="s">
        <v>114</v>
      </c>
      <c r="D61" s="35">
        <v>9.7900000000000005E-4</v>
      </c>
      <c r="E61" s="36">
        <f>'Oct 23'!$D61*$C$6*$C$2</f>
        <v>148778.48729250144</v>
      </c>
      <c r="F61" s="36">
        <v>8220</v>
      </c>
      <c r="G61" s="72">
        <f>'Oct 23'!$E61/'Oct 23'!$F61</f>
        <v>18.099572663321343</v>
      </c>
      <c r="H61" s="34">
        <v>19</v>
      </c>
      <c r="I61" s="34">
        <v>18</v>
      </c>
      <c r="J61" s="38">
        <f t="shared" si="3"/>
        <v>-1</v>
      </c>
      <c r="K61" s="39">
        <f>'Oct 23'!$F61*'Oct 23'!$I61</f>
        <v>147960</v>
      </c>
      <c r="L61" s="40">
        <f>'Oct 23'!$K61/$K$2</f>
        <v>8.7333398806990357E-4</v>
      </c>
      <c r="M61" s="41"/>
    </row>
    <row r="62" spans="1:16" s="43" customFormat="1" ht="25.5" x14ac:dyDescent="0.25">
      <c r="A62" s="34" t="s">
        <v>191</v>
      </c>
      <c r="B62" s="34" t="s">
        <v>96</v>
      </c>
      <c r="C62" s="34" t="s">
        <v>97</v>
      </c>
      <c r="D62" s="35">
        <v>9.7900000000000005E-4</v>
      </c>
      <c r="E62" s="36">
        <f>'Oct 23'!$D62*$C$6*$C$2</f>
        <v>148778.48729250144</v>
      </c>
      <c r="F62" s="36">
        <v>47979</v>
      </c>
      <c r="G62" s="72">
        <f>'Oct 23'!$E62/'Oct 23'!$F62</f>
        <v>3.1009084660476756</v>
      </c>
      <c r="H62" s="34">
        <v>3</v>
      </c>
      <c r="I62" s="34">
        <v>3</v>
      </c>
      <c r="J62" s="38">
        <f t="shared" si="3"/>
        <v>0</v>
      </c>
      <c r="K62" s="39">
        <f>'Oct 23'!$F62*'Oct 23'!$I62</f>
        <v>143937</v>
      </c>
      <c r="L62" s="40">
        <f>'Oct 23'!$K62/$K$2</f>
        <v>8.4958822817530219E-4</v>
      </c>
      <c r="M62" s="41"/>
    </row>
    <row r="63" spans="1:16" s="43" customFormat="1" ht="12.75" x14ac:dyDescent="0.25">
      <c r="A63" s="34"/>
      <c r="B63" s="34"/>
      <c r="C63" s="34"/>
      <c r="D63" s="35"/>
      <c r="E63" s="36"/>
      <c r="F63" s="36"/>
      <c r="G63" s="37"/>
      <c r="H63" s="34"/>
      <c r="I63" s="34"/>
      <c r="J63" s="41"/>
      <c r="K63" s="39"/>
      <c r="L63" s="40"/>
      <c r="M63" s="41"/>
    </row>
    <row r="64" spans="1:16" s="43" customFormat="1" ht="12.75" x14ac:dyDescent="0.25">
      <c r="A64" s="34"/>
      <c r="B64" s="34"/>
      <c r="C64" s="34"/>
      <c r="D64" s="35"/>
      <c r="E64" s="36"/>
      <c r="F64" s="36"/>
      <c r="G64" s="37"/>
      <c r="H64" s="34"/>
      <c r="I64" s="34"/>
      <c r="J64" s="41"/>
      <c r="K64" s="39"/>
      <c r="L64" s="40"/>
      <c r="M64" s="41"/>
    </row>
    <row r="65" spans="1:13" s="43" customFormat="1" ht="12.75" x14ac:dyDescent="0.25">
      <c r="A65" s="34"/>
      <c r="B65" s="34"/>
      <c r="C65" s="34"/>
      <c r="D65" s="35"/>
      <c r="E65" s="36"/>
      <c r="F65" s="36"/>
      <c r="G65" s="37"/>
      <c r="H65" s="34"/>
      <c r="I65" s="34"/>
      <c r="J65" s="41"/>
      <c r="K65" s="39"/>
      <c r="L65" s="40"/>
      <c r="M65" s="41"/>
    </row>
    <row r="66" spans="1:13" s="15" customFormat="1" ht="12.75" x14ac:dyDescent="0.2">
      <c r="A66" s="47" t="s">
        <v>205</v>
      </c>
      <c r="B66" s="65"/>
      <c r="C66" s="65"/>
      <c r="D66" s="88">
        <f>SUM(D53:D65)</f>
        <v>9.7900000000000018E-3</v>
      </c>
      <c r="E66" s="49">
        <f>SUM(E52:E65)</f>
        <v>1487784.872925014</v>
      </c>
      <c r="F66" s="68"/>
      <c r="G66" s="68"/>
      <c r="H66" s="65"/>
      <c r="I66" s="65"/>
      <c r="J66" s="47"/>
      <c r="K66" s="49">
        <f>SUM(K52:K65)</f>
        <v>1649629</v>
      </c>
      <c r="L66" s="52">
        <f>'Oct 23'!$K66/$K$2</f>
        <v>9.7369361544050216E-3</v>
      </c>
      <c r="M66" s="59"/>
    </row>
    <row r="67" spans="1:13" s="2" customFormat="1" ht="12.75" x14ac:dyDescent="0.2">
      <c r="A67" s="34"/>
      <c r="B67" s="61"/>
      <c r="C67" s="61"/>
      <c r="D67" s="74"/>
      <c r="E67" s="36"/>
      <c r="F67" s="36"/>
      <c r="G67" s="37"/>
      <c r="H67" s="61"/>
      <c r="I67" s="61"/>
      <c r="J67" s="34"/>
      <c r="K67" s="34"/>
      <c r="L67" s="40"/>
      <c r="M67" s="62"/>
    </row>
    <row r="68" spans="1:13" s="43" customFormat="1" ht="25.5" x14ac:dyDescent="0.25">
      <c r="A68" s="47" t="s">
        <v>206</v>
      </c>
      <c r="B68" s="54" t="s">
        <v>118</v>
      </c>
      <c r="C68" s="54" t="s">
        <v>119</v>
      </c>
      <c r="D68" s="55">
        <v>1.1296E-2</v>
      </c>
      <c r="E68" s="56">
        <f>'Oct 23'!$D68*$C$6*$C$2</f>
        <v>1716651.4733974426</v>
      </c>
      <c r="F68" s="56">
        <v>28700</v>
      </c>
      <c r="G68" s="57">
        <f>'Oct 23'!$E68/'Oct 23'!$F68</f>
        <v>59.813640188064205</v>
      </c>
      <c r="H68" s="54">
        <v>57</v>
      </c>
      <c r="I68" s="54">
        <v>60</v>
      </c>
      <c r="J68" s="75">
        <f>I68-H68</f>
        <v>3</v>
      </c>
      <c r="K68" s="56">
        <f>'Oct 23'!$F68*'Oct 23'!$I68</f>
        <v>1722000</v>
      </c>
      <c r="L68" s="76">
        <f>'Oct 23'!$K68/$K$2</f>
        <v>1.0164106024982252E-2</v>
      </c>
      <c r="M68" s="54"/>
    </row>
    <row r="69" spans="1:13" s="2" customFormat="1" ht="12.75" x14ac:dyDescent="0.2">
      <c r="A69" s="34"/>
      <c r="B69" s="61"/>
      <c r="C69" s="61"/>
      <c r="D69" s="74"/>
      <c r="E69" s="36"/>
      <c r="F69" s="36"/>
      <c r="G69" s="37"/>
      <c r="H69" s="61"/>
      <c r="I69" s="61"/>
      <c r="J69" s="34"/>
      <c r="K69" s="34"/>
      <c r="L69" s="40"/>
      <c r="M69" s="62"/>
    </row>
    <row r="70" spans="1:13" s="2" customFormat="1" ht="12.75" x14ac:dyDescent="0.2">
      <c r="A70" s="34"/>
      <c r="B70" s="61"/>
      <c r="C70" s="61"/>
      <c r="D70" s="77"/>
      <c r="E70" s="63"/>
      <c r="F70" s="36"/>
      <c r="G70" s="37"/>
      <c r="H70" s="61"/>
      <c r="I70" s="61"/>
      <c r="J70" s="34"/>
      <c r="K70" s="34"/>
      <c r="L70" s="40"/>
      <c r="M70" s="62"/>
    </row>
    <row r="71" spans="1:13" s="15" customFormat="1" ht="12.75" x14ac:dyDescent="0.2">
      <c r="A71" s="47" t="s">
        <v>208</v>
      </c>
      <c r="B71" s="65"/>
      <c r="C71" s="65"/>
      <c r="D71" s="65"/>
      <c r="E71" s="78"/>
      <c r="F71" s="78"/>
      <c r="G71" s="47"/>
      <c r="H71" s="65"/>
      <c r="I71" s="65"/>
      <c r="J71" s="65"/>
      <c r="K71" s="78">
        <f>SUM(K25,K27,K40,K50,K66,K68:K68)</f>
        <v>169419720.31455734</v>
      </c>
      <c r="L71" s="52">
        <f>'Oct 23'!$K71/$K$2</f>
        <v>1.0000000000000002</v>
      </c>
      <c r="M71" s="65"/>
    </row>
    <row r="72" spans="1:13" s="2" customFormat="1" ht="12.75" x14ac:dyDescent="0.2">
      <c r="A72" s="62"/>
      <c r="B72" s="62"/>
      <c r="C72" s="62"/>
      <c r="D72" s="79"/>
      <c r="E72" s="80"/>
      <c r="F72" s="36"/>
      <c r="G72" s="81"/>
      <c r="H72" s="62"/>
      <c r="I72" s="62"/>
      <c r="J72" s="62"/>
      <c r="K72" s="62"/>
      <c r="L72" s="40"/>
      <c r="M72" s="62"/>
    </row>
    <row r="73" spans="1:13" s="2" customFormat="1" ht="12.75" x14ac:dyDescent="0.2">
      <c r="A73" s="62"/>
      <c r="B73" s="62"/>
      <c r="C73" s="62"/>
      <c r="D73" s="79"/>
      <c r="E73" s="80"/>
      <c r="F73" s="36"/>
      <c r="G73" s="81"/>
      <c r="H73" s="62"/>
      <c r="I73" s="62"/>
      <c r="J73" s="62"/>
      <c r="K73" s="62"/>
      <c r="L73" s="40"/>
      <c r="M73" s="62"/>
    </row>
    <row r="74" spans="1:13" s="2" customFormat="1" ht="12.75" x14ac:dyDescent="0.2">
      <c r="A74" s="62"/>
      <c r="B74" s="62"/>
      <c r="C74" s="62"/>
      <c r="D74" s="79"/>
      <c r="E74" s="80"/>
      <c r="F74" s="36"/>
      <c r="G74" s="81"/>
      <c r="H74" s="62"/>
      <c r="I74" s="62"/>
      <c r="J74" s="62"/>
      <c r="K74" s="62"/>
      <c r="L74" s="40"/>
      <c r="M74" s="62"/>
    </row>
    <row r="75" spans="1:13" s="2" customFormat="1" ht="12.75" x14ac:dyDescent="0.2">
      <c r="A75" s="62"/>
      <c r="B75" s="62"/>
      <c r="C75" s="62"/>
      <c r="D75" s="79"/>
      <c r="E75" s="80"/>
      <c r="F75" s="36"/>
      <c r="G75" s="81"/>
      <c r="H75" s="62"/>
      <c r="I75" s="62"/>
      <c r="J75" s="62"/>
      <c r="K75" s="62"/>
      <c r="L75" s="40"/>
      <c r="M75" s="62"/>
    </row>
    <row r="76" spans="1:13" s="2" customFormat="1" ht="12.75" x14ac:dyDescent="0.2">
      <c r="A76" s="62"/>
      <c r="B76" s="62"/>
      <c r="C76" s="62"/>
      <c r="D76" s="79"/>
      <c r="E76" s="80"/>
      <c r="F76" s="36"/>
      <c r="G76" s="81"/>
      <c r="H76" s="62"/>
      <c r="I76" s="62"/>
      <c r="J76" s="62"/>
      <c r="K76" s="62"/>
      <c r="L76" s="40"/>
      <c r="M76" s="62"/>
    </row>
    <row r="77" spans="1:13" s="2" customFormat="1" ht="12.75" x14ac:dyDescent="0.2">
      <c r="A77" s="62"/>
      <c r="B77" s="62"/>
      <c r="C77" s="62"/>
      <c r="D77" s="79"/>
      <c r="E77" s="80"/>
      <c r="F77" s="36"/>
      <c r="G77" s="81"/>
      <c r="H77" s="62"/>
      <c r="I77" s="62"/>
      <c r="J77" s="62"/>
      <c r="K77" s="62"/>
      <c r="L77" s="40"/>
      <c r="M77" s="62"/>
    </row>
    <row r="78" spans="1:13" s="2" customFormat="1" ht="12.75" x14ac:dyDescent="0.2">
      <c r="A78" s="62"/>
      <c r="B78" s="62"/>
      <c r="C78" s="62"/>
      <c r="D78" s="79"/>
      <c r="E78" s="80"/>
      <c r="F78" s="36"/>
      <c r="G78" s="81"/>
      <c r="H78" s="62"/>
      <c r="I78" s="62"/>
      <c r="J78" s="62"/>
      <c r="K78" s="62"/>
      <c r="L78" s="40"/>
      <c r="M78" s="62"/>
    </row>
    <row r="79" spans="1:13" s="2" customFormat="1" ht="12.75" x14ac:dyDescent="0.2">
      <c r="A79" s="62"/>
      <c r="B79" s="62"/>
      <c r="C79" s="62"/>
      <c r="D79" s="79"/>
      <c r="E79" s="80"/>
      <c r="F79" s="36"/>
      <c r="G79" s="81"/>
      <c r="H79" s="62"/>
      <c r="I79" s="62"/>
      <c r="J79" s="62"/>
      <c r="K79" s="62"/>
      <c r="L79" s="40"/>
      <c r="M79" s="62"/>
    </row>
    <row r="80" spans="1:13" s="2" customFormat="1" ht="12.75" x14ac:dyDescent="0.2">
      <c r="A80" s="62"/>
      <c r="B80" s="62"/>
      <c r="C80" s="62"/>
      <c r="D80" s="79"/>
      <c r="E80" s="80"/>
      <c r="F80" s="36"/>
      <c r="G80" s="81"/>
      <c r="H80" s="62"/>
      <c r="I80" s="62"/>
      <c r="J80" s="62"/>
      <c r="K80" s="62"/>
      <c r="L80" s="40"/>
      <c r="M80" s="62"/>
    </row>
    <row r="81" spans="1:13" s="2" customFormat="1" ht="12.75" x14ac:dyDescent="0.2"/>
    <row r="82" spans="1:13" s="2" customFormat="1" ht="12.75" x14ac:dyDescent="0.2"/>
    <row r="84" spans="1:13" s="2" customFormat="1" ht="12.75" x14ac:dyDescent="0.2">
      <c r="A84" s="82"/>
      <c r="B84" s="82"/>
      <c r="E84" s="82"/>
      <c r="F84" s="82"/>
      <c r="G84" s="82"/>
      <c r="H84" s="83"/>
      <c r="M84" s="82"/>
    </row>
    <row r="85" spans="1:13" s="2" customFormat="1" ht="12.75" x14ac:dyDescent="0.2">
      <c r="A85" s="82"/>
      <c r="B85" s="82"/>
      <c r="E85" s="82"/>
      <c r="F85" s="82"/>
      <c r="G85" s="82"/>
      <c r="H85" s="83"/>
      <c r="M85" s="82"/>
    </row>
    <row r="86" spans="1:13" s="2" customFormat="1" ht="12.75" x14ac:dyDescent="0.2">
      <c r="A86" s="84"/>
      <c r="B86" s="84"/>
    </row>
    <row r="87" spans="1:13" s="2" customFormat="1" ht="12.75" x14ac:dyDescent="0.2">
      <c r="A87" s="85"/>
      <c r="B87" s="85"/>
      <c r="E87" s="85"/>
      <c r="F87" s="84"/>
      <c r="G87" s="84"/>
      <c r="M87" s="86"/>
    </row>
    <row r="88" spans="1:13" s="2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MH94"/>
  <sheetViews>
    <sheetView zoomScale="125" zoomScaleNormal="125" workbookViewId="0">
      <pane xSplit="2" topLeftCell="C1" activePane="topRight" state="frozen"/>
      <selection pane="topRight" activeCell="H13" sqref="H13"/>
    </sheetView>
  </sheetViews>
  <sheetFormatPr defaultColWidth="9.140625" defaultRowHeight="15" x14ac:dyDescent="0.25"/>
  <cols>
    <col min="1" max="2" width="15.140625" style="2" customWidth="1"/>
    <col min="3" max="3" width="29.28515625" style="2" customWidth="1"/>
    <col min="4" max="4" width="14.85546875" style="2" customWidth="1"/>
    <col min="5" max="5" width="27.42578125" style="2" customWidth="1"/>
    <col min="6" max="7" width="13.7109375" style="2" customWidth="1"/>
    <col min="8" max="8" width="16.5703125" style="2" customWidth="1"/>
    <col min="9" max="9" width="15.5703125" style="2" customWidth="1"/>
    <col min="10" max="10" width="13.42578125" customWidth="1"/>
    <col min="11" max="11" width="23.5703125" customWidth="1"/>
    <col min="12" max="12" width="13.42578125" customWidth="1"/>
    <col min="13" max="13" width="22.5703125" style="2" customWidth="1"/>
    <col min="14" max="16" width="10.85546875" style="2" customWidth="1"/>
    <col min="17" max="17" width="11.28515625" style="2" customWidth="1"/>
    <col min="18" max="1022" width="9.140625" style="2"/>
  </cols>
  <sheetData>
    <row r="1" spans="1:17" s="2" customFormat="1" ht="25.5" x14ac:dyDescent="0.2">
      <c r="A1" s="3"/>
      <c r="B1" s="3" t="s">
        <v>138</v>
      </c>
      <c r="C1" s="4">
        <v>44130</v>
      </c>
      <c r="D1" s="5"/>
      <c r="E1" s="6" t="s">
        <v>139</v>
      </c>
      <c r="F1" s="7"/>
      <c r="G1" s="8"/>
      <c r="K1" s="9" t="s">
        <v>140</v>
      </c>
      <c r="L1" s="9" t="s">
        <v>141</v>
      </c>
      <c r="M1" s="10" t="s">
        <v>142</v>
      </c>
    </row>
    <row r="2" spans="1:17" x14ac:dyDescent="0.25">
      <c r="A2" s="3"/>
      <c r="B2" s="3" t="s">
        <v>143</v>
      </c>
      <c r="C2" s="11">
        <v>7.78</v>
      </c>
      <c r="D2" s="12"/>
      <c r="E2" s="13">
        <f>SUM(E31,E46,E56,E72,E33,E74)</f>
        <v>149460549.97640875</v>
      </c>
      <c r="F2" s="14"/>
      <c r="G2" s="15"/>
      <c r="H2" s="12"/>
      <c r="I2" s="12"/>
      <c r="J2" s="12"/>
      <c r="K2" s="13">
        <f>SUM(K31,K46,K56,K72,K33,K74:K74)</f>
        <v>167872403.80724803</v>
      </c>
      <c r="L2" s="16">
        <f>SUM(L56,L72,L46,L31,L33,L74)</f>
        <v>0.99999999999999989</v>
      </c>
      <c r="M2" s="17">
        <f>K2/$C$6</f>
        <v>8.7383732873814033</v>
      </c>
      <c r="N2" s="18"/>
    </row>
    <row r="3" spans="1:17" ht="26.25" x14ac:dyDescent="0.25">
      <c r="A3" s="3"/>
      <c r="B3" s="3" t="s">
        <v>144</v>
      </c>
      <c r="C3" s="19">
        <v>19210944.449999999</v>
      </c>
      <c r="D3" s="20"/>
      <c r="E3" s="6" t="s">
        <v>145</v>
      </c>
      <c r="F3" s="14"/>
      <c r="G3" s="15"/>
      <c r="H3" s="12"/>
      <c r="I3" s="12"/>
      <c r="J3" s="12"/>
      <c r="K3" s="6" t="s">
        <v>145</v>
      </c>
      <c r="L3" s="12"/>
      <c r="M3" s="10" t="s">
        <v>146</v>
      </c>
      <c r="N3" s="21"/>
    </row>
    <row r="4" spans="1:17" x14ac:dyDescent="0.25">
      <c r="A4" s="3"/>
      <c r="B4" s="3" t="s">
        <v>147</v>
      </c>
      <c r="C4" s="19">
        <v>0</v>
      </c>
      <c r="D4" s="20"/>
      <c r="E4" s="13">
        <f>SUM(E31,E72,E33)</f>
        <v>29410366.823625088</v>
      </c>
      <c r="F4" s="14"/>
      <c r="G4" s="15"/>
      <c r="H4" s="12"/>
      <c r="I4" s="12"/>
      <c r="J4" s="12"/>
      <c r="K4" s="13">
        <f>SUM(K31,K33,K72)</f>
        <v>29569934.296797726</v>
      </c>
      <c r="L4" s="12"/>
      <c r="M4" s="17">
        <f>K4/$C$6</f>
        <v>1.539223351239128</v>
      </c>
      <c r="N4" s="21"/>
    </row>
    <row r="5" spans="1:17" x14ac:dyDescent="0.25">
      <c r="A5" s="3"/>
      <c r="B5" s="3" t="s">
        <v>148</v>
      </c>
      <c r="C5" s="19">
        <v>0</v>
      </c>
      <c r="D5" s="20"/>
      <c r="E5" s="14"/>
      <c r="F5" s="14"/>
      <c r="G5" s="22">
        <f>SUM(D31,D33,D46,D56,D72,D74:D74)</f>
        <v>0.99999600000000011</v>
      </c>
      <c r="H5" s="12"/>
      <c r="I5" s="12"/>
      <c r="J5" s="12"/>
      <c r="K5" s="12"/>
      <c r="L5" s="12"/>
      <c r="M5" s="12"/>
      <c r="N5" s="21"/>
    </row>
    <row r="6" spans="1:17" x14ac:dyDescent="0.25">
      <c r="A6" s="3"/>
      <c r="B6" s="3" t="s">
        <v>149</v>
      </c>
      <c r="C6" s="19">
        <f>C3+C4-C5</f>
        <v>19210944.449999999</v>
      </c>
      <c r="D6" s="20"/>
      <c r="E6" s="14"/>
      <c r="F6" s="14"/>
      <c r="G6" s="15"/>
      <c r="H6" s="12"/>
      <c r="I6" s="12"/>
      <c r="J6" s="12"/>
      <c r="K6" s="12"/>
      <c r="L6" s="12"/>
      <c r="M6" s="12"/>
      <c r="N6" s="21"/>
    </row>
    <row r="7" spans="1:17" x14ac:dyDescent="0.25">
      <c r="A7" s="23"/>
      <c r="B7" s="24"/>
      <c r="C7" s="24"/>
      <c r="D7" s="25"/>
      <c r="E7" s="26"/>
      <c r="F7" s="26"/>
      <c r="G7" s="26"/>
      <c r="H7" s="27"/>
      <c r="I7" s="27"/>
      <c r="J7" s="27"/>
      <c r="K7" s="12"/>
      <c r="L7" s="12"/>
      <c r="M7" s="12"/>
      <c r="N7" s="21"/>
    </row>
    <row r="8" spans="1:17" s="32" customFormat="1" ht="38.25" x14ac:dyDescent="0.2">
      <c r="A8" s="28" t="s">
        <v>150</v>
      </c>
      <c r="B8" s="28" t="s">
        <v>151</v>
      </c>
      <c r="C8" s="29" t="s">
        <v>1</v>
      </c>
      <c r="D8" s="29" t="s">
        <v>152</v>
      </c>
      <c r="E8" s="29" t="s">
        <v>153</v>
      </c>
      <c r="F8" s="29" t="s">
        <v>154</v>
      </c>
      <c r="G8" s="29" t="s">
        <v>155</v>
      </c>
      <c r="H8" s="29" t="s">
        <v>156</v>
      </c>
      <c r="I8" s="29" t="s">
        <v>157</v>
      </c>
      <c r="J8" s="29" t="s">
        <v>158</v>
      </c>
      <c r="K8" s="30" t="s">
        <v>159</v>
      </c>
      <c r="L8" s="30" t="s">
        <v>160</v>
      </c>
      <c r="M8" s="30" t="s">
        <v>161</v>
      </c>
      <c r="N8" s="31"/>
      <c r="Q8" s="33"/>
    </row>
    <row r="9" spans="1:17" s="43" customFormat="1" ht="12.75" x14ac:dyDescent="0.25">
      <c r="A9" s="34" t="s">
        <v>162</v>
      </c>
      <c r="B9" s="34" t="s">
        <v>46</v>
      </c>
      <c r="C9" s="34" t="s">
        <v>47</v>
      </c>
      <c r="D9" s="35">
        <v>1.2866000000000001E-2</v>
      </c>
      <c r="E9" s="36">
        <f>'Oct 26'!$D9*$C$6*$C$2</f>
        <v>1922967.127864986</v>
      </c>
      <c r="F9" s="36">
        <v>538</v>
      </c>
      <c r="G9" s="37">
        <f>'Oct 26'!$E9/'Oct 26'!$F9</f>
        <v>3574.2883417564794</v>
      </c>
      <c r="H9" s="34">
        <v>3634</v>
      </c>
      <c r="I9" s="34">
        <f>ROUND(Table138958456799101112131445626789101112131415161718192021345678910111213141516171819[[#This Row],[Target Quantity]],0)</f>
        <v>3574</v>
      </c>
      <c r="J9" s="38">
        <f t="shared" ref="J9:J29" si="0">I9-H9</f>
        <v>-60</v>
      </c>
      <c r="K9" s="39">
        <f>'Oct 26'!$F9*'Oct 26'!$I9</f>
        <v>1922812</v>
      </c>
      <c r="L9" s="40">
        <f>'Oct 26'!$K9/$K$2</f>
        <v>1.1454008856677736E-2</v>
      </c>
      <c r="M9" s="41"/>
      <c r="N9" s="42"/>
      <c r="O9" s="87"/>
    </row>
    <row r="10" spans="1:17" s="43" customFormat="1" ht="12.75" customHeight="1" x14ac:dyDescent="0.25">
      <c r="A10" s="34" t="s">
        <v>162</v>
      </c>
      <c r="B10" s="34" t="s">
        <v>55</v>
      </c>
      <c r="C10" s="34" t="s">
        <v>56</v>
      </c>
      <c r="D10" s="35">
        <v>1.2866000000000001E-2</v>
      </c>
      <c r="E10" s="36">
        <f>'Oct 26'!$D10*$C$6*$C$2</f>
        <v>1922967.127864986</v>
      </c>
      <c r="F10" s="36">
        <v>414.65007640253202</v>
      </c>
      <c r="G10" s="37">
        <f>'Oct 26'!$E10/'Oct 26'!$F10</f>
        <v>4637.5660763130236</v>
      </c>
      <c r="H10" s="34">
        <v>4581</v>
      </c>
      <c r="I10" s="34">
        <f>ROUND(Table138958456799101112131445626789101112131415161718192021345678910111213141516171819[[#This Row],[Target Quantity]],0)</f>
        <v>4638</v>
      </c>
      <c r="J10" s="38">
        <f t="shared" si="0"/>
        <v>57</v>
      </c>
      <c r="K10" s="39">
        <f>'Oct 26'!$F10*'Oct 26'!$I10</f>
        <v>1923147.0543549436</v>
      </c>
      <c r="L10" s="40">
        <f>'Oct 26'!$K10/$K$2</f>
        <v>1.145600474371661E-2</v>
      </c>
      <c r="M10" s="41"/>
    </row>
    <row r="11" spans="1:17" s="43" customFormat="1" ht="12.75" customHeight="1" x14ac:dyDescent="0.25">
      <c r="A11" s="34" t="s">
        <v>162</v>
      </c>
      <c r="B11" s="34" t="s">
        <v>37</v>
      </c>
      <c r="C11" s="34" t="s">
        <v>38</v>
      </c>
      <c r="D11" s="35">
        <v>1.2866000000000001E-2</v>
      </c>
      <c r="E11" s="36">
        <f>'Oct 26'!$D11*$C$6*$C$2</f>
        <v>1922967.127864986</v>
      </c>
      <c r="F11" s="36">
        <v>80.7000083913737</v>
      </c>
      <c r="G11" s="37">
        <f>'Oct 26'!$E11/'Oct 26'!$F11</f>
        <v>23828.586467291352</v>
      </c>
      <c r="H11" s="34">
        <v>23834</v>
      </c>
      <c r="I11" s="34">
        <f>ROUND(Table138958456799101112131445626789101112131415161718192021345678910111213141516171819[[#This Row],[Target Quantity]],0)</f>
        <v>23829</v>
      </c>
      <c r="J11" s="38">
        <f t="shared" si="0"/>
        <v>-5</v>
      </c>
      <c r="K11" s="39">
        <f>'Oct 26'!$F11*'Oct 26'!$I11</f>
        <v>1923000.4999580439</v>
      </c>
      <c r="L11" s="40">
        <f>'Oct 26'!$K11/$K$2</f>
        <v>1.1455131733063423E-2</v>
      </c>
      <c r="M11" s="41"/>
    </row>
    <row r="12" spans="1:17" s="44" customFormat="1" ht="12.75" customHeight="1" x14ac:dyDescent="0.25">
      <c r="A12" s="34" t="s">
        <v>162</v>
      </c>
      <c r="B12" s="34" t="s">
        <v>23</v>
      </c>
      <c r="C12" s="34" t="s">
        <v>24</v>
      </c>
      <c r="D12" s="35">
        <v>1.2866000000000001E-2</v>
      </c>
      <c r="E12" s="36">
        <f>'Oct 26'!$D12*$C$6*$C$2</f>
        <v>1922967.127864986</v>
      </c>
      <c r="F12" s="36">
        <v>219.82000221263399</v>
      </c>
      <c r="G12" s="37">
        <f>'Oct 26'!$E12/'Oct 26'!$F12</f>
        <v>8747.9169707444617</v>
      </c>
      <c r="H12" s="34">
        <v>9039</v>
      </c>
      <c r="I12" s="34">
        <f>ROUND(Table138958456799101112131445626789101112131415161718192021345678910111213141516171819[[#This Row],[Target Quantity]],0)</f>
        <v>8748</v>
      </c>
      <c r="J12" s="38">
        <f t="shared" si="0"/>
        <v>-291</v>
      </c>
      <c r="K12" s="39">
        <f>'Oct 26'!$F12*'Oct 26'!$I12</f>
        <v>1922985.3793561221</v>
      </c>
      <c r="L12" s="40">
        <f>'Oct 26'!$K12/$K$2</f>
        <v>1.1455041661070774E-2</v>
      </c>
      <c r="M12" s="34"/>
    </row>
    <row r="13" spans="1:17" s="44" customFormat="1" ht="12.75" customHeight="1" x14ac:dyDescent="0.25">
      <c r="A13" s="34" t="s">
        <v>162</v>
      </c>
      <c r="B13" s="34" t="s">
        <v>60</v>
      </c>
      <c r="C13" s="34" t="s">
        <v>61</v>
      </c>
      <c r="D13" s="35">
        <v>1.2866000000000001E-2</v>
      </c>
      <c r="E13" s="36">
        <f>'Oct 26'!$D13*$C$6*$C$2</f>
        <v>1922967.127864986</v>
      </c>
      <c r="F13" s="36">
        <v>510</v>
      </c>
      <c r="G13" s="37">
        <f>'Oct 26'!$E13/'Oct 26'!$F13</f>
        <v>3770.5237801274234</v>
      </c>
      <c r="H13" s="34">
        <v>3713</v>
      </c>
      <c r="I13" s="34">
        <f>ROUND(Table138958456799101112131445626789101112131415161718192021345678910111213141516171819[[#This Row],[Target Quantity]],0)</f>
        <v>3771</v>
      </c>
      <c r="J13" s="38">
        <f t="shared" si="0"/>
        <v>58</v>
      </c>
      <c r="K13" s="39">
        <f>'Oct 26'!$F13*'Oct 26'!$I13</f>
        <v>1923210</v>
      </c>
      <c r="L13" s="40">
        <f>'Oct 26'!$K13/$K$2</f>
        <v>1.1456379704958773E-2</v>
      </c>
      <c r="M13" s="34"/>
    </row>
    <row r="14" spans="1:17" s="44" customFormat="1" ht="12.75" customHeight="1" x14ac:dyDescent="0.25">
      <c r="A14" s="34" t="s">
        <v>162</v>
      </c>
      <c r="B14" s="34" t="s">
        <v>165</v>
      </c>
      <c r="C14" s="34" t="s">
        <v>166</v>
      </c>
      <c r="D14" s="35">
        <v>0</v>
      </c>
      <c r="E14" s="36">
        <f>'Oct 26'!$D14*$C$6*$C$2</f>
        <v>0</v>
      </c>
      <c r="F14" s="36">
        <v>281.92994821634102</v>
      </c>
      <c r="G14" s="37">
        <f>'Oct 26'!$E14/'Oct 26'!$F14</f>
        <v>0</v>
      </c>
      <c r="H14" s="34">
        <v>6952</v>
      </c>
      <c r="I14" s="34">
        <f>ROUND(Table138958456799101112131445626789101112131415161718192021345678910111213141516171819[[#This Row],[Target Quantity]],0)</f>
        <v>0</v>
      </c>
      <c r="J14" s="38">
        <f t="shared" si="0"/>
        <v>-6952</v>
      </c>
      <c r="K14" s="39">
        <f>'Oct 26'!$F14*'Oct 26'!$I14</f>
        <v>0</v>
      </c>
      <c r="L14" s="40">
        <f>'Oct 26'!$K14/$K$2</f>
        <v>0</v>
      </c>
      <c r="M14" s="34"/>
    </row>
    <row r="15" spans="1:17" s="44" customFormat="1" ht="12.75" customHeight="1" x14ac:dyDescent="0.25">
      <c r="A15" s="34" t="s">
        <v>162</v>
      </c>
      <c r="B15" s="34" t="s">
        <v>43</v>
      </c>
      <c r="C15" s="34" t="s">
        <v>44</v>
      </c>
      <c r="D15" s="35">
        <v>1.2866000000000001E-2</v>
      </c>
      <c r="E15" s="36">
        <f>'Oct 26'!$D15*$C$6*$C$2</f>
        <v>1922967.127864986</v>
      </c>
      <c r="F15" s="36">
        <v>1312.1598934044</v>
      </c>
      <c r="G15" s="37">
        <f>'Oct 26'!$E15/'Oct 26'!$F15</f>
        <v>1465.4975643828329</v>
      </c>
      <c r="H15" s="34">
        <v>1501</v>
      </c>
      <c r="I15" s="34">
        <f>ROUND(Table138958456799101112131445626789101112131415161718192021345678910111213141516171819[[#This Row],[Target Quantity]],0)</f>
        <v>1465</v>
      </c>
      <c r="J15" s="38">
        <f t="shared" si="0"/>
        <v>-36</v>
      </c>
      <c r="K15" s="39">
        <f>'Oct 26'!$F15*'Oct 26'!$I15</f>
        <v>1922314.243837446</v>
      </c>
      <c r="L15" s="40">
        <f>'Oct 26'!$K15/$K$2</f>
        <v>1.1451043770390381E-2</v>
      </c>
      <c r="M15" s="34"/>
    </row>
    <row r="16" spans="1:17" s="44" customFormat="1" ht="12.75" customHeight="1" x14ac:dyDescent="0.25">
      <c r="A16" s="34" t="s">
        <v>162</v>
      </c>
      <c r="B16" s="34" t="s">
        <v>167</v>
      </c>
      <c r="C16" s="34" t="s">
        <v>168</v>
      </c>
      <c r="D16" s="35">
        <v>0</v>
      </c>
      <c r="E16" s="36">
        <f>'Oct 26'!$D16*$C$6*$C$2</f>
        <v>0</v>
      </c>
      <c r="F16" s="36">
        <v>170.64003918425499</v>
      </c>
      <c r="G16" s="37">
        <f>'Oct 26'!$E16/'Oct 26'!$F16</f>
        <v>0</v>
      </c>
      <c r="H16" s="34">
        <v>11229</v>
      </c>
      <c r="I16" s="34">
        <f>ROUND(Table138958456799101112131445626789101112131415161718192021345678910111213141516171819[[#This Row],[Target Quantity]],0)</f>
        <v>0</v>
      </c>
      <c r="J16" s="38">
        <f t="shared" si="0"/>
        <v>-11229</v>
      </c>
      <c r="K16" s="39">
        <f>'Oct 26'!$F16*'Oct 26'!$I16</f>
        <v>0</v>
      </c>
      <c r="L16" s="40">
        <f>'Oct 26'!$K16/$K$2</f>
        <v>0</v>
      </c>
      <c r="M16" s="34"/>
    </row>
    <row r="17" spans="1:13" s="44" customFormat="1" ht="12.75" customHeight="1" x14ac:dyDescent="0.25">
      <c r="A17" s="34" t="s">
        <v>162</v>
      </c>
      <c r="B17" s="34" t="s">
        <v>28</v>
      </c>
      <c r="C17" s="34" t="s">
        <v>29</v>
      </c>
      <c r="D17" s="35">
        <v>1.2866000000000001E-2</v>
      </c>
      <c r="E17" s="36">
        <f>'Oct 26'!$D17*$C$6*$C$2</f>
        <v>1922967.127864986</v>
      </c>
      <c r="F17" s="36">
        <v>283.56002273050098</v>
      </c>
      <c r="G17" s="37">
        <f>'Oct 26'!$E17/'Oct 26'!$F17</f>
        <v>6781.5170465429046</v>
      </c>
      <c r="H17" s="34">
        <v>7039</v>
      </c>
      <c r="I17" s="34">
        <f>ROUND(Table138958456799101112131445626789101112131415161718192021345678910111213141516171819[[#This Row],[Target Quantity]],0)</f>
        <v>6782</v>
      </c>
      <c r="J17" s="38">
        <f t="shared" si="0"/>
        <v>-257</v>
      </c>
      <c r="K17" s="39">
        <f>'Oct 26'!$F17*'Oct 26'!$I17</f>
        <v>1923104.0741582576</v>
      </c>
      <c r="L17" s="40">
        <f>'Oct 26'!$K17/$K$2</f>
        <v>1.1455748714758239E-2</v>
      </c>
      <c r="M17" s="34"/>
    </row>
    <row r="18" spans="1:13" s="44" customFormat="1" ht="12.75" customHeight="1" x14ac:dyDescent="0.25">
      <c r="A18" s="34" t="s">
        <v>162</v>
      </c>
      <c r="B18" s="34" t="s">
        <v>19</v>
      </c>
      <c r="C18" s="34" t="s">
        <v>20</v>
      </c>
      <c r="D18" s="35">
        <v>1.2866000000000001E-2</v>
      </c>
      <c r="E18" s="36">
        <f>'Oct 26'!$D18*$C$6*$C$2</f>
        <v>1922967.127864986</v>
      </c>
      <c r="F18" s="36">
        <v>1339.0796519411001</v>
      </c>
      <c r="G18" s="37">
        <f>'Oct 26'!$E18/'Oct 26'!$F18</f>
        <v>1436.0364038670109</v>
      </c>
      <c r="H18" s="34">
        <v>1494</v>
      </c>
      <c r="I18" s="34">
        <f>ROUND(Table138958456799101112131445626789101112131415161718192021345678910111213141516171819[[#This Row],[Target Quantity]],0)</f>
        <v>1436</v>
      </c>
      <c r="J18" s="38">
        <f t="shared" si="0"/>
        <v>-58</v>
      </c>
      <c r="K18" s="39">
        <f>'Oct 26'!$F18*'Oct 26'!$I18</f>
        <v>1922918.3801874197</v>
      </c>
      <c r="L18" s="40">
        <f>'Oct 26'!$K18/$K$2</f>
        <v>1.145464255337241E-2</v>
      </c>
      <c r="M18" s="34"/>
    </row>
    <row r="19" spans="1:13" s="44" customFormat="1" ht="12.75" customHeight="1" x14ac:dyDescent="0.25">
      <c r="A19" s="34" t="s">
        <v>162</v>
      </c>
      <c r="B19" s="34" t="s">
        <v>25</v>
      </c>
      <c r="C19" s="34" t="s">
        <v>26</v>
      </c>
      <c r="D19" s="35">
        <v>6.4330000000000003E-3</v>
      </c>
      <c r="E19" s="36">
        <f>'Oct 26'!$D19*$C$6*$C$2</f>
        <v>961483.56393249298</v>
      </c>
      <c r="F19" s="36">
        <v>18.219992820571001</v>
      </c>
      <c r="G19" s="37">
        <f>'Oct 26'!$E19/'Oct 26'!$F19</f>
        <v>52770.798177644989</v>
      </c>
      <c r="H19" s="34">
        <v>52929</v>
      </c>
      <c r="I19" s="34">
        <f>ROUND(Table138958456799101112131445626789101112131415161718192021345678910111213141516171819[[#This Row],[Target Quantity]],0)</f>
        <v>52771</v>
      </c>
      <c r="J19" s="38">
        <f t="shared" si="0"/>
        <v>-158</v>
      </c>
      <c r="K19" s="39">
        <f>'Oct 26'!$F19*'Oct 26'!$I19</f>
        <v>961487.24113435228</v>
      </c>
      <c r="L19" s="40">
        <f>'Oct 26'!$K19/$K$2</f>
        <v>5.727488374076879E-3</v>
      </c>
      <c r="M19" s="34"/>
    </row>
    <row r="20" spans="1:13" s="44" customFormat="1" ht="12.75" customHeight="1" x14ac:dyDescent="0.25">
      <c r="A20" s="34" t="s">
        <v>162</v>
      </c>
      <c r="B20" s="34" t="s">
        <v>214</v>
      </c>
      <c r="C20" s="34" t="s">
        <v>215</v>
      </c>
      <c r="D20" s="35">
        <v>0</v>
      </c>
      <c r="E20" s="36">
        <f>'Oct 26'!$D20*$C$6*$C$2</f>
        <v>0</v>
      </c>
      <c r="F20" s="36">
        <v>78.079990542990004</v>
      </c>
      <c r="G20" s="37">
        <f>'Oct 26'!$E20/'Oct 26'!$F20</f>
        <v>0</v>
      </c>
      <c r="H20" s="34">
        <v>12689</v>
      </c>
      <c r="I20" s="34">
        <f>ROUND(Table138958456799101112131445626789101112131415161718192021345678910111213141516171819[[#This Row],[Target Quantity]],0)</f>
        <v>0</v>
      </c>
      <c r="J20" s="38">
        <f t="shared" si="0"/>
        <v>-12689</v>
      </c>
      <c r="K20" s="39">
        <f>'Oct 26'!$F20*'Oct 26'!$I20</f>
        <v>0</v>
      </c>
      <c r="L20" s="40">
        <f>'Oct 26'!$K20/$K$2</f>
        <v>0</v>
      </c>
      <c r="M20" s="34"/>
    </row>
    <row r="21" spans="1:13" s="44" customFormat="1" ht="12.75" customHeight="1" x14ac:dyDescent="0.25">
      <c r="A21" s="34" t="s">
        <v>162</v>
      </c>
      <c r="B21" s="34" t="s">
        <v>216</v>
      </c>
      <c r="C21" s="34" t="s">
        <v>217</v>
      </c>
      <c r="D21" s="35">
        <v>0</v>
      </c>
      <c r="E21" s="36">
        <f>'Oct 26'!$D21*$C$6*$C$2</f>
        <v>0</v>
      </c>
      <c r="F21" s="36">
        <v>72.880005814376105</v>
      </c>
      <c r="G21" s="37">
        <f>'Oct 26'!$E21/'Oct 26'!$F21</f>
        <v>0</v>
      </c>
      <c r="H21" s="34">
        <v>13759</v>
      </c>
      <c r="I21" s="34">
        <f>ROUND(Table138958456799101112131445626789101112131415161718192021345678910111213141516171819[[#This Row],[Target Quantity]],0)</f>
        <v>0</v>
      </c>
      <c r="J21" s="38">
        <f t="shared" si="0"/>
        <v>-13759</v>
      </c>
      <c r="K21" s="39">
        <f>'Oct 26'!$F21*'Oct 26'!$I21</f>
        <v>0</v>
      </c>
      <c r="L21" s="40">
        <f>'Oct 26'!$K21/$K$2</f>
        <v>0</v>
      </c>
      <c r="M21" s="34"/>
    </row>
    <row r="22" spans="1:13" s="44" customFormat="1" ht="12.75" customHeight="1" x14ac:dyDescent="0.25">
      <c r="A22" s="34" t="s">
        <v>162</v>
      </c>
      <c r="B22" s="34" t="s">
        <v>218</v>
      </c>
      <c r="C22" s="34" t="s">
        <v>219</v>
      </c>
      <c r="D22" s="35">
        <v>0</v>
      </c>
      <c r="E22" s="36">
        <f>'Oct 26'!$D22*$C$6*$C$2</f>
        <v>0</v>
      </c>
      <c r="F22" s="36">
        <v>172.13999823679799</v>
      </c>
      <c r="G22" s="37">
        <f>'Oct 26'!$E22/'Oct 26'!$F22</f>
        <v>0</v>
      </c>
      <c r="H22" s="34">
        <v>11343</v>
      </c>
      <c r="I22" s="34">
        <f>ROUND(Table138958456799101112131445626789101112131415161718192021345678910111213141516171819[[#This Row],[Target Quantity]],0)</f>
        <v>0</v>
      </c>
      <c r="J22" s="38">
        <f t="shared" si="0"/>
        <v>-11343</v>
      </c>
      <c r="K22" s="39">
        <f>'Oct 26'!$F22*'Oct 26'!$I22</f>
        <v>0</v>
      </c>
      <c r="L22" s="40">
        <f>'Oct 26'!$K22/$K$2</f>
        <v>0</v>
      </c>
      <c r="M22" s="34"/>
    </row>
    <row r="23" spans="1:13" s="44" customFormat="1" ht="12.75" customHeight="1" x14ac:dyDescent="0.25">
      <c r="A23" s="34" t="s">
        <v>162</v>
      </c>
      <c r="B23" s="34" t="s">
        <v>40</v>
      </c>
      <c r="C23" s="34" t="s">
        <v>41</v>
      </c>
      <c r="D23" s="35">
        <v>6.4330000000000003E-3</v>
      </c>
      <c r="E23" s="36">
        <f>'Oct 26'!$D23*$C$6*$C$2</f>
        <v>961483.56393249298</v>
      </c>
      <c r="F23" s="36">
        <v>34.76</v>
      </c>
      <c r="G23" s="37">
        <f>'Oct 26'!$E23/'Oct 26'!$F23</f>
        <v>27660.631873777129</v>
      </c>
      <c r="H23" s="34">
        <v>28650</v>
      </c>
      <c r="I23" s="34">
        <f>ROUND(Table138958456799101112131445626789101112131415161718192021345678910111213141516171819[[#This Row],[Target Quantity]],0)</f>
        <v>27661</v>
      </c>
      <c r="J23" s="38">
        <f t="shared" si="0"/>
        <v>-989</v>
      </c>
      <c r="K23" s="39">
        <f>'Oct 26'!$F23*'Oct 26'!$I23</f>
        <v>961496.36</v>
      </c>
      <c r="L23" s="40">
        <f>'Oct 26'!$K23/$K$2</f>
        <v>5.727542694295336E-3</v>
      </c>
      <c r="M23" s="34"/>
    </row>
    <row r="24" spans="1:13" s="44" customFormat="1" ht="12.75" customHeight="1" x14ac:dyDescent="0.25">
      <c r="A24" s="34" t="s">
        <v>162</v>
      </c>
      <c r="B24" s="34" t="s">
        <v>11</v>
      </c>
      <c r="C24" s="34" t="s">
        <v>12</v>
      </c>
      <c r="D24" s="35">
        <v>6.4330000000000003E-3</v>
      </c>
      <c r="E24" s="36">
        <f>'Oct 26'!$D24*$C$6*$C$2</f>
        <v>961483.56393249298</v>
      </c>
      <c r="F24" s="36">
        <v>469.56</v>
      </c>
      <c r="G24" s="37">
        <f>'Oct 26'!$E24/'Oct 26'!$F24</f>
        <v>2047.6266375596153</v>
      </c>
      <c r="H24" s="34">
        <v>0</v>
      </c>
      <c r="I24" s="34">
        <f>ROUND(Table138958456799101112131445626789101112131415161718192021345678910111213141516171819[[#This Row],[Target Quantity]],0)</f>
        <v>2048</v>
      </c>
      <c r="J24" s="38">
        <f t="shared" si="0"/>
        <v>2048</v>
      </c>
      <c r="K24" s="39">
        <f>'Oct 26'!$F24*'Oct 26'!$I24</f>
        <v>961658.88</v>
      </c>
      <c r="L24" s="40">
        <f>'Oct 26'!$K24/$K$2</f>
        <v>5.7285108105331103E-3</v>
      </c>
      <c r="M24" s="34"/>
    </row>
    <row r="25" spans="1:13" s="44" customFormat="1" ht="12.75" customHeight="1" x14ac:dyDescent="0.25">
      <c r="A25" s="34" t="s">
        <v>162</v>
      </c>
      <c r="B25" s="34" t="s">
        <v>52</v>
      </c>
      <c r="C25" s="34" t="s">
        <v>53</v>
      </c>
      <c r="D25" s="35">
        <v>1.2866000000000001E-2</v>
      </c>
      <c r="E25" s="36">
        <f>'Oct 26'!$D25*$C$6*$C$2</f>
        <v>1922967.127864986</v>
      </c>
      <c r="F25" s="36">
        <v>203.04</v>
      </c>
      <c r="G25" s="37">
        <f>'Oct 26'!$E25/'Oct 26'!$F25</f>
        <v>9470.8782893271582</v>
      </c>
      <c r="H25" s="34">
        <v>0</v>
      </c>
      <c r="I25" s="34">
        <f>ROUND(Table138958456799101112131445626789101112131415161718192021345678910111213141516171819[[#This Row],[Target Quantity]],0)</f>
        <v>9471</v>
      </c>
      <c r="J25" s="38">
        <f t="shared" si="0"/>
        <v>9471</v>
      </c>
      <c r="K25" s="39">
        <f>'Oct 26'!$F25*'Oct 26'!$I25</f>
        <v>1922991.8399999999</v>
      </c>
      <c r="L25" s="40">
        <f>'Oct 26'!$K25/$K$2</f>
        <v>1.1455080146514069E-2</v>
      </c>
      <c r="M25" s="34"/>
    </row>
    <row r="26" spans="1:13" s="44" customFormat="1" ht="12.75" customHeight="1" x14ac:dyDescent="0.25">
      <c r="A26" s="34" t="s">
        <v>162</v>
      </c>
      <c r="B26" s="34" t="s">
        <v>31</v>
      </c>
      <c r="C26" s="34" t="s">
        <v>32</v>
      </c>
      <c r="D26" s="35">
        <v>6.4330000000000003E-3</v>
      </c>
      <c r="E26" s="36">
        <f>'Oct 26'!$D26*$C$6*$C$2</f>
        <v>961483.56393249298</v>
      </c>
      <c r="F26" s="36">
        <v>21.42</v>
      </c>
      <c r="G26" s="37">
        <f>'Oct 26'!$E26/'Oct 26'!$F26</f>
        <v>44887.187858659796</v>
      </c>
      <c r="H26" s="34">
        <v>0</v>
      </c>
      <c r="I26" s="34">
        <f>ROUND(Table138958456799101112131445626789101112131415161718192021345678910111213141516171819[[#This Row],[Target Quantity]],0)</f>
        <v>44887</v>
      </c>
      <c r="J26" s="38">
        <f t="shared" si="0"/>
        <v>44887</v>
      </c>
      <c r="K26" s="39">
        <f>'Oct 26'!$F26*'Oct 26'!$I26</f>
        <v>961479.54</v>
      </c>
      <c r="L26" s="40">
        <f>'Oct 26'!$K26/$K$2</f>
        <v>5.7274424991493886E-3</v>
      </c>
      <c r="M26" s="34"/>
    </row>
    <row r="27" spans="1:13" s="44" customFormat="1" ht="12.75" customHeight="1" x14ac:dyDescent="0.25">
      <c r="A27" s="34" t="s">
        <v>162</v>
      </c>
      <c r="B27" s="34" t="s">
        <v>16</v>
      </c>
      <c r="C27" s="34" t="s">
        <v>17</v>
      </c>
      <c r="D27" s="35">
        <v>1.2866000000000001E-2</v>
      </c>
      <c r="E27" s="36">
        <f>'Oct 26'!$D27*$C$6*$C$2</f>
        <v>1922967.127864986</v>
      </c>
      <c r="F27" s="36">
        <v>34.93</v>
      </c>
      <c r="G27" s="37">
        <f>'Oct 26'!$E27/'Oct 26'!$F27</f>
        <v>55052.021982965533</v>
      </c>
      <c r="H27" s="34">
        <v>0</v>
      </c>
      <c r="I27" s="34">
        <f>ROUND(Table138958456799101112131445626789101112131415161718192021345678910111213141516171819[[#This Row],[Target Quantity]],0)</f>
        <v>55052</v>
      </c>
      <c r="J27" s="38">
        <f t="shared" si="0"/>
        <v>55052</v>
      </c>
      <c r="K27" s="39">
        <f>'Oct 26'!$F27*'Oct 26'!$I27</f>
        <v>1922966.3599999999</v>
      </c>
      <c r="L27" s="40">
        <f>'Oct 26'!$K27/$K$2</f>
        <v>1.1454928364568842E-2</v>
      </c>
      <c r="M27" s="34"/>
    </row>
    <row r="28" spans="1:13" s="44" customFormat="1" ht="12.75" customHeight="1" x14ac:dyDescent="0.25">
      <c r="A28" s="34" t="s">
        <v>162</v>
      </c>
      <c r="B28" s="34" t="s">
        <v>57</v>
      </c>
      <c r="C28" s="34" t="s">
        <v>58</v>
      </c>
      <c r="D28" s="35">
        <v>6.4330000000000003E-3</v>
      </c>
      <c r="E28" s="36">
        <f>'Oct 26'!$D28*$C$6*$C$2</f>
        <v>961483.56393249298</v>
      </c>
      <c r="F28" s="36">
        <v>198.11</v>
      </c>
      <c r="G28" s="37">
        <f>'Oct 26'!$E28/'Oct 26'!$F28</f>
        <v>4853.2813282140878</v>
      </c>
      <c r="H28" s="34">
        <v>0</v>
      </c>
      <c r="I28" s="34">
        <f>ROUND(Table138958456799101112131445626789101112131415161718192021345678910111213141516171819[[#This Row],[Target Quantity]],0)</f>
        <v>4853</v>
      </c>
      <c r="J28" s="38">
        <f t="shared" si="0"/>
        <v>4853</v>
      </c>
      <c r="K28" s="39">
        <f>'Oct 26'!$F28*'Oct 26'!$I28</f>
        <v>961427.83000000007</v>
      </c>
      <c r="L28" s="40">
        <f>'Oct 26'!$K28/$K$2</f>
        <v>5.7271344675800112E-3</v>
      </c>
      <c r="M28" s="34"/>
    </row>
    <row r="29" spans="1:13" s="44" customFormat="1" ht="12.75" customHeight="1" x14ac:dyDescent="0.25">
      <c r="A29" s="34" t="s">
        <v>162</v>
      </c>
      <c r="B29" s="34" t="s">
        <v>49</v>
      </c>
      <c r="C29" s="34" t="s">
        <v>50</v>
      </c>
      <c r="D29" s="35">
        <v>6.4330000000000003E-3</v>
      </c>
      <c r="E29" s="36">
        <f>'Oct 26'!$D29*$C$6*$C$2</f>
        <v>961483.56393249298</v>
      </c>
      <c r="F29" s="36">
        <v>62.27</v>
      </c>
      <c r="G29" s="37">
        <f>'Oct 26'!$E29/'Oct 26'!$F29</f>
        <v>15440.558277380647</v>
      </c>
      <c r="H29" s="34">
        <v>0</v>
      </c>
      <c r="I29" s="34">
        <f>ROUND(Table138958456799101112131445626789101112131415161718192021345678910111213141516171819[[#This Row],[Target Quantity]],0)</f>
        <v>15441</v>
      </c>
      <c r="J29" s="38">
        <f t="shared" si="0"/>
        <v>15441</v>
      </c>
      <c r="K29" s="39">
        <f>'Oct 26'!$F29*'Oct 26'!$I29</f>
        <v>961511.07000000007</v>
      </c>
      <c r="L29" s="40">
        <f>'Oct 26'!$K29/$K$2</f>
        <v>5.7276303203712513E-3</v>
      </c>
      <c r="M29" s="34"/>
    </row>
    <row r="30" spans="1:13" s="44" customFormat="1" ht="12.75" customHeight="1" x14ac:dyDescent="0.25">
      <c r="A30" s="34"/>
      <c r="B30" s="34"/>
      <c r="C30" s="34"/>
      <c r="D30" s="35"/>
      <c r="E30" s="36"/>
      <c r="F30" s="36"/>
      <c r="G30" s="37"/>
      <c r="H30" s="34"/>
      <c r="I30" s="34"/>
      <c r="J30" s="45"/>
      <c r="K30" s="36"/>
      <c r="L30" s="46"/>
      <c r="M30" s="34"/>
    </row>
    <row r="31" spans="1:13" s="53" customFormat="1" ht="12.75" customHeight="1" x14ac:dyDescent="0.25">
      <c r="A31" s="47" t="s">
        <v>175</v>
      </c>
      <c r="B31" s="47"/>
      <c r="C31" s="47"/>
      <c r="D31" s="48">
        <f>SUM(D9:D30)</f>
        <v>0.16725799999999996</v>
      </c>
      <c r="E31" s="49">
        <f>'Oct 26'!$D31*$C$6*$C$2</f>
        <v>24998572.662244812</v>
      </c>
      <c r="F31" s="50"/>
      <c r="G31" s="50"/>
      <c r="H31" s="47"/>
      <c r="I31" s="47"/>
      <c r="J31" s="51"/>
      <c r="K31" s="49">
        <f>SUM(K9:K30)</f>
        <v>24998510.75298658</v>
      </c>
      <c r="L31" s="52">
        <f>'Oct 26'!$K31/$K$2</f>
        <v>0.14891375941509721</v>
      </c>
      <c r="M31" s="47"/>
    </row>
    <row r="32" spans="1:13" s="44" customFormat="1" ht="12.75" customHeight="1" x14ac:dyDescent="0.25">
      <c r="A32" s="34"/>
      <c r="B32" s="34"/>
      <c r="C32" s="34"/>
      <c r="D32" s="35"/>
      <c r="E32" s="36"/>
      <c r="F32" s="36"/>
      <c r="G32" s="37"/>
      <c r="H32" s="34"/>
      <c r="I32" s="34"/>
      <c r="J32" s="45"/>
      <c r="K32" s="36"/>
      <c r="L32" s="40"/>
      <c r="M32" s="34"/>
    </row>
    <row r="33" spans="1:15" s="43" customFormat="1" ht="12.75" customHeight="1" x14ac:dyDescent="0.25">
      <c r="A33" s="54"/>
      <c r="B33" s="47" t="s">
        <v>34</v>
      </c>
      <c r="C33" s="54" t="s">
        <v>35</v>
      </c>
      <c r="D33" s="55">
        <v>1.9678000000000001E-2</v>
      </c>
      <c r="E33" s="56">
        <f>'Oct 26'!$D33*$C$6*$C$2</f>
        <v>2941096.4668216379</v>
      </c>
      <c r="F33" s="50">
        <v>18.120000981854101</v>
      </c>
      <c r="G33" s="57">
        <f>'Oct 26'!$E33/'Oct 26'!$F33</f>
        <v>162312.15824805628</v>
      </c>
      <c r="H33" s="54">
        <v>162957</v>
      </c>
      <c r="I33" s="54">
        <f>ROUND(Table138958456799101112131445626789101112131415161718192021345678910111213141516171819[[#This Row],[Target Quantity]],0)</f>
        <v>162312</v>
      </c>
      <c r="J33" s="58">
        <f>I33-H33</f>
        <v>-645</v>
      </c>
      <c r="K33" s="59">
        <f>'Oct 26'!$F33*'Oct 26'!$I33</f>
        <v>2941093.5993667031</v>
      </c>
      <c r="L33" s="52">
        <f>'Oct 26'!$K33/$K$2</f>
        <v>1.7519815840271652E-2</v>
      </c>
      <c r="M33" s="47"/>
      <c r="O33" s="42"/>
    </row>
    <row r="34" spans="1:15" s="43" customFormat="1" ht="12.75" customHeight="1" x14ac:dyDescent="0.25">
      <c r="A34" s="34"/>
      <c r="B34" s="34"/>
      <c r="C34" s="34"/>
      <c r="D34" s="35"/>
      <c r="E34" s="36"/>
      <c r="F34" s="36"/>
      <c r="G34" s="37"/>
      <c r="H34" s="34"/>
      <c r="I34" s="34"/>
      <c r="J34" s="45"/>
      <c r="K34" s="39"/>
      <c r="L34" s="40"/>
      <c r="M34" s="34"/>
      <c r="O34" s="42"/>
    </row>
    <row r="35" spans="1:15" s="2" customFormat="1" ht="25.5" x14ac:dyDescent="0.2">
      <c r="A35" s="34" t="s">
        <v>176</v>
      </c>
      <c r="B35" s="60" t="s">
        <v>109</v>
      </c>
      <c r="C35" s="61" t="s">
        <v>110</v>
      </c>
      <c r="D35" s="35">
        <v>2.9517000000000002E-2</v>
      </c>
      <c r="E35" s="36">
        <f>'Oct 26'!$D35*$C$6*$C$2</f>
        <v>4411644.7002324574</v>
      </c>
      <c r="F35" s="36">
        <v>158088.214285714</v>
      </c>
      <c r="G35" s="37">
        <f>'Oct 26'!$E35/'Oct 26'!$F35</f>
        <v>27.906221347147735</v>
      </c>
      <c r="H35" s="34">
        <v>28</v>
      </c>
      <c r="I35" s="34">
        <v>28</v>
      </c>
      <c r="J35" s="38">
        <f t="shared" ref="J35:J44" si="1">I35-H35</f>
        <v>0</v>
      </c>
      <c r="K35" s="39">
        <f>'Oct 26'!$F35*'Oct 26'!$I35</f>
        <v>4426469.9999999916</v>
      </c>
      <c r="L35" s="40">
        <f>'Oct 26'!$K35/$K$2</f>
        <v>2.6368062287846238E-2</v>
      </c>
      <c r="M35" s="62"/>
    </row>
    <row r="36" spans="1:15" s="2" customFormat="1" ht="25.5" x14ac:dyDescent="0.2">
      <c r="A36" s="34" t="s">
        <v>176</v>
      </c>
      <c r="B36" s="60" t="s">
        <v>115</v>
      </c>
      <c r="C36" s="61" t="s">
        <v>116</v>
      </c>
      <c r="D36" s="35">
        <v>2.9517000000000002E-2</v>
      </c>
      <c r="E36" s="36">
        <f>'Oct 26'!$D36*$C$6*$C$2</f>
        <v>4411644.7002324574</v>
      </c>
      <c r="F36" s="36">
        <v>216528.38095238101</v>
      </c>
      <c r="G36" s="37">
        <f>'Oct 26'!$E36/'Oct 26'!$F36</f>
        <v>20.37444089697723</v>
      </c>
      <c r="H36" s="34">
        <v>21</v>
      </c>
      <c r="I36" s="34">
        <v>20</v>
      </c>
      <c r="J36" s="38">
        <f t="shared" si="1"/>
        <v>-1</v>
      </c>
      <c r="K36" s="39">
        <f>'Oct 26'!$F36*'Oct 26'!$I36</f>
        <v>4330567.6190476203</v>
      </c>
      <c r="L36" s="40">
        <f>'Oct 26'!$K36/$K$2</f>
        <v>2.5796780893302753E-2</v>
      </c>
      <c r="M36" s="62"/>
    </row>
    <row r="37" spans="1:15" s="2" customFormat="1" ht="25.5" x14ac:dyDescent="0.2">
      <c r="A37" s="34" t="s">
        <v>176</v>
      </c>
      <c r="B37" s="60" t="s">
        <v>121</v>
      </c>
      <c r="C37" s="61" t="s">
        <v>122</v>
      </c>
      <c r="D37" s="35">
        <v>2.9517000000000002E-2</v>
      </c>
      <c r="E37" s="36">
        <f>'Oct 26'!$D37*$C$6*$C$2</f>
        <v>4411644.7002324574</v>
      </c>
      <c r="F37" s="36">
        <v>173581.69230769199</v>
      </c>
      <c r="G37" s="37">
        <f>'Oct 26'!$E37/'Oct 26'!$F37</f>
        <v>25.415380168159373</v>
      </c>
      <c r="H37" s="34">
        <v>26</v>
      </c>
      <c r="I37" s="34">
        <v>25</v>
      </c>
      <c r="J37" s="38">
        <f t="shared" si="1"/>
        <v>-1</v>
      </c>
      <c r="K37" s="39">
        <f>'Oct 26'!$F37*'Oct 26'!$I37</f>
        <v>4339542.3076922996</v>
      </c>
      <c r="L37" s="40">
        <f>'Oct 26'!$K37/$K$2</f>
        <v>2.5850242263016528E-2</v>
      </c>
      <c r="M37" s="62"/>
    </row>
    <row r="38" spans="1:15" s="2" customFormat="1" ht="25.5" x14ac:dyDescent="0.2">
      <c r="A38" s="34" t="s">
        <v>176</v>
      </c>
      <c r="B38" s="60" t="s">
        <v>124</v>
      </c>
      <c r="C38" s="61" t="s">
        <v>125</v>
      </c>
      <c r="D38" s="35">
        <v>2.9517000000000002E-2</v>
      </c>
      <c r="E38" s="36">
        <f>'Oct 26'!$D38*$C$6*$C$2</f>
        <v>4411644.7002324574</v>
      </c>
      <c r="F38" s="36">
        <v>125659.371428571</v>
      </c>
      <c r="G38" s="37">
        <f>'Oct 26'!$E38/'Oct 26'!$F38</f>
        <v>35.107964094346791</v>
      </c>
      <c r="H38" s="34">
        <v>35</v>
      </c>
      <c r="I38" s="34">
        <v>35</v>
      </c>
      <c r="J38" s="38">
        <f t="shared" si="1"/>
        <v>0</v>
      </c>
      <c r="K38" s="39">
        <f>'Oct 26'!$F38*'Oct 26'!$I38</f>
        <v>4398077.9999999851</v>
      </c>
      <c r="L38" s="40">
        <f>'Oct 26'!$K38/$K$2</f>
        <v>2.6198933834591903E-2</v>
      </c>
      <c r="M38" s="62"/>
    </row>
    <row r="39" spans="1:15" s="2" customFormat="1" ht="25.5" x14ac:dyDescent="0.2">
      <c r="A39" s="34" t="s">
        <v>176</v>
      </c>
      <c r="B39" s="60" t="s">
        <v>127</v>
      </c>
      <c r="C39" s="61" t="s">
        <v>128</v>
      </c>
      <c r="D39" s="35">
        <v>2.9517000000000002E-2</v>
      </c>
      <c r="E39" s="36">
        <f>'Oct 26'!$D39*$C$6*$C$2</f>
        <v>4411644.7002324574</v>
      </c>
      <c r="F39" s="36">
        <v>138588.9375</v>
      </c>
      <c r="G39" s="37">
        <f>'Oct 26'!$E39/'Oct 26'!$F39</f>
        <v>31.83258909270776</v>
      </c>
      <c r="H39" s="34">
        <v>32</v>
      </c>
      <c r="I39" s="34">
        <v>32</v>
      </c>
      <c r="J39" s="38">
        <f t="shared" si="1"/>
        <v>0</v>
      </c>
      <c r="K39" s="39">
        <f>'Oct 26'!$F39*'Oct 26'!$I39</f>
        <v>4434846</v>
      </c>
      <c r="L39" s="40">
        <f>'Oct 26'!$K39/$K$2</f>
        <v>2.6417957326042185E-2</v>
      </c>
      <c r="M39" s="62"/>
    </row>
    <row r="40" spans="1:15" s="2" customFormat="1" ht="25.5" x14ac:dyDescent="0.2">
      <c r="A40" s="34" t="s">
        <v>176</v>
      </c>
      <c r="B40" s="60" t="s">
        <v>135</v>
      </c>
      <c r="C40" s="61" t="s">
        <v>136</v>
      </c>
      <c r="D40" s="35">
        <v>2.9517000000000002E-2</v>
      </c>
      <c r="E40" s="36">
        <f>'Oct 26'!$D40*$C$6*$C$2</f>
        <v>4411644.7002324574</v>
      </c>
      <c r="F40" s="36">
        <v>220839.65</v>
      </c>
      <c r="G40" s="37">
        <f>'Oct 26'!$E40/'Oct 26'!$F40</f>
        <v>19.976687611271153</v>
      </c>
      <c r="H40" s="34">
        <v>20</v>
      </c>
      <c r="I40" s="34">
        <v>20</v>
      </c>
      <c r="J40" s="38">
        <f t="shared" si="1"/>
        <v>0</v>
      </c>
      <c r="K40" s="39">
        <f>'Oct 26'!$F40*'Oct 26'!$I40</f>
        <v>4416793</v>
      </c>
      <c r="L40" s="40">
        <f>'Oct 26'!$K40/$K$2</f>
        <v>2.6310417315947802E-2</v>
      </c>
      <c r="M40" s="62"/>
    </row>
    <row r="41" spans="1:15" s="43" customFormat="1" ht="25.5" customHeight="1" x14ac:dyDescent="0.25">
      <c r="A41" s="34" t="s">
        <v>177</v>
      </c>
      <c r="B41" s="34" t="s">
        <v>76</v>
      </c>
      <c r="C41" s="34" t="s">
        <v>77</v>
      </c>
      <c r="D41" s="35">
        <v>2.9517000000000002E-2</v>
      </c>
      <c r="E41" s="36">
        <f>'Oct 26'!$D41*$C$6*$C$2</f>
        <v>4411644.7002324574</v>
      </c>
      <c r="F41" s="36">
        <v>115041.43589743599</v>
      </c>
      <c r="G41" s="37">
        <f>'Oct 26'!$E41/'Oct 26'!$F41</f>
        <v>38.348310465853487</v>
      </c>
      <c r="H41" s="34">
        <v>39</v>
      </c>
      <c r="I41" s="34">
        <v>38</v>
      </c>
      <c r="J41" s="38">
        <f t="shared" si="1"/>
        <v>-1</v>
      </c>
      <c r="K41" s="39">
        <f>'Oct 26'!$F41*'Oct 26'!$I41</f>
        <v>4371574.5641025677</v>
      </c>
      <c r="L41" s="40">
        <f>'Oct 26'!$K41/$K$2</f>
        <v>2.6041055378715091E-2</v>
      </c>
      <c r="M41" s="41"/>
    </row>
    <row r="42" spans="1:15" s="43" customFormat="1" ht="25.5" x14ac:dyDescent="0.25">
      <c r="A42" s="34" t="s">
        <v>177</v>
      </c>
      <c r="B42" s="34" t="s">
        <v>71</v>
      </c>
      <c r="C42" s="34" t="s">
        <v>72</v>
      </c>
      <c r="D42" s="35">
        <v>2.9517000000000002E-2</v>
      </c>
      <c r="E42" s="36">
        <f>'Oct 26'!$D42*$C$6*$C$2</f>
        <v>4411644.7002324574</v>
      </c>
      <c r="F42" s="36">
        <v>134573.24242424199</v>
      </c>
      <c r="G42" s="37">
        <f>'Oct 26'!$E42/'Oct 26'!$F42</f>
        <v>32.782480534464291</v>
      </c>
      <c r="H42" s="34">
        <v>33</v>
      </c>
      <c r="I42" s="34">
        <v>33</v>
      </c>
      <c r="J42" s="38">
        <f t="shared" si="1"/>
        <v>0</v>
      </c>
      <c r="K42" s="39">
        <f>'Oct 26'!$F42*'Oct 26'!$I42</f>
        <v>4440916.999999986</v>
      </c>
      <c r="L42" s="40">
        <f>'Oct 26'!$K42/$K$2</f>
        <v>2.6454121697685764E-2</v>
      </c>
      <c r="M42" s="41"/>
    </row>
    <row r="43" spans="1:15" s="43" customFormat="1" ht="25.5" x14ac:dyDescent="0.25">
      <c r="A43" s="34" t="s">
        <v>177</v>
      </c>
      <c r="B43" s="34" t="s">
        <v>67</v>
      </c>
      <c r="C43" s="34" t="s">
        <v>68</v>
      </c>
      <c r="D43" s="35">
        <v>2.9517000000000002E-2</v>
      </c>
      <c r="E43" s="36">
        <f>'Oct 26'!$D43*$C$6*$C$2</f>
        <v>4411644.7002324574</v>
      </c>
      <c r="F43" s="36">
        <v>177453.88</v>
      </c>
      <c r="G43" s="37">
        <f>'Oct 26'!$E43/'Oct 26'!$F43</f>
        <v>24.86079594445868</v>
      </c>
      <c r="H43" s="34">
        <v>25</v>
      </c>
      <c r="I43" s="34">
        <v>25</v>
      </c>
      <c r="J43" s="38">
        <f t="shared" si="1"/>
        <v>0</v>
      </c>
      <c r="K43" s="39">
        <f>'Oct 26'!$F43*'Oct 26'!$I43</f>
        <v>4436347</v>
      </c>
      <c r="L43" s="40">
        <f>'Oct 26'!$K43/$K$2</f>
        <v>2.6426898640790519E-2</v>
      </c>
      <c r="M43" s="41"/>
    </row>
    <row r="44" spans="1:15" s="43" customFormat="1" ht="25.5" x14ac:dyDescent="0.25">
      <c r="A44" s="34" t="s">
        <v>177</v>
      </c>
      <c r="B44" s="34" t="s">
        <v>80</v>
      </c>
      <c r="C44" s="34" t="s">
        <v>81</v>
      </c>
      <c r="D44" s="35">
        <v>2.9517000000000002E-2</v>
      </c>
      <c r="E44" s="36">
        <f>'Oct 26'!$D44*$C$6*$C$2</f>
        <v>4411644.7002324574</v>
      </c>
      <c r="F44" s="36">
        <v>268066.64705882402</v>
      </c>
      <c r="G44" s="37">
        <f>'Oct 26'!$E44/'Oct 26'!$F44</f>
        <v>16.457268178030276</v>
      </c>
      <c r="H44" s="34">
        <v>17</v>
      </c>
      <c r="I44" s="34">
        <v>16</v>
      </c>
      <c r="J44" s="38">
        <f t="shared" si="1"/>
        <v>-1</v>
      </c>
      <c r="K44" s="39">
        <f>'Oct 26'!$F44*'Oct 26'!$I44</f>
        <v>4289066.3529411843</v>
      </c>
      <c r="L44" s="40">
        <f>'Oct 26'!$K44/$K$2</f>
        <v>2.5549561784234131E-2</v>
      </c>
      <c r="M44" s="41"/>
    </row>
    <row r="45" spans="1:15" s="64" customFormat="1" ht="12.75" x14ac:dyDescent="0.2">
      <c r="A45" s="34"/>
      <c r="B45" s="61"/>
      <c r="C45" s="61"/>
      <c r="D45" s="35"/>
      <c r="E45" s="63"/>
      <c r="F45" s="36"/>
      <c r="G45" s="37"/>
      <c r="H45" s="34"/>
      <c r="I45" s="34"/>
      <c r="J45" s="45"/>
      <c r="K45" s="36"/>
      <c r="L45" s="46"/>
      <c r="M45" s="62"/>
    </row>
    <row r="46" spans="1:15" s="15" customFormat="1" ht="12.75" x14ac:dyDescent="0.2">
      <c r="A46" s="47" t="s">
        <v>182</v>
      </c>
      <c r="B46" s="65"/>
      <c r="C46" s="65"/>
      <c r="D46" s="55">
        <f>SUBTOTAL(9,D35:D45)</f>
        <v>0.2951700000000001</v>
      </c>
      <c r="E46" s="66">
        <f>'Oct 26'!$D46*$C$6*$C$2</f>
        <v>44116447.002324581</v>
      </c>
      <c r="F46" s="67"/>
      <c r="G46" s="68"/>
      <c r="H46" s="54"/>
      <c r="I46" s="54"/>
      <c r="J46" s="58"/>
      <c r="K46" s="66">
        <f>SUM(K35:K45)</f>
        <v>43884201.843783639</v>
      </c>
      <c r="L46" s="69">
        <f>'Oct 26'!$K46/$K$2</f>
        <v>0.26141403142217295</v>
      </c>
      <c r="M46" s="70"/>
    </row>
    <row r="47" spans="1:15" s="64" customFormat="1" ht="12.75" x14ac:dyDescent="0.2">
      <c r="A47" s="34"/>
      <c r="B47" s="61"/>
      <c r="C47" s="61"/>
      <c r="D47" s="35"/>
      <c r="E47" s="63"/>
      <c r="F47" s="36"/>
      <c r="G47" s="37"/>
      <c r="H47" s="34"/>
      <c r="I47" s="34"/>
      <c r="J47" s="45"/>
      <c r="K47" s="36"/>
      <c r="L47" s="40"/>
      <c r="M47" s="62"/>
    </row>
    <row r="48" spans="1:15" s="2" customFormat="1" ht="24.75" customHeight="1" x14ac:dyDescent="0.2">
      <c r="A48" s="34" t="s">
        <v>176</v>
      </c>
      <c r="B48" s="61" t="s">
        <v>183</v>
      </c>
      <c r="C48" s="61" t="s">
        <v>131</v>
      </c>
      <c r="D48" s="35">
        <v>7.1429000000000006E-2</v>
      </c>
      <c r="E48" s="36">
        <f>'Oct 26'!$D48*$C$6*$C$2</f>
        <v>10675860.32770621</v>
      </c>
      <c r="F48" s="36">
        <v>416330.375</v>
      </c>
      <c r="G48" s="37">
        <f>'Oct 26'!$E48/'Oct 26'!$F48</f>
        <v>25.642761058945581</v>
      </c>
      <c r="H48" s="34">
        <v>32</v>
      </c>
      <c r="I48" s="34">
        <v>32</v>
      </c>
      <c r="J48" s="38">
        <f t="shared" ref="J48:J54" si="2">I48-H48</f>
        <v>0</v>
      </c>
      <c r="K48" s="39">
        <f>'Oct 26'!$F48*'Oct 26'!$I48</f>
        <v>13322572</v>
      </c>
      <c r="L48" s="40">
        <f>'Oct 26'!$K48/$K$2</f>
        <v>7.9361298807021599E-2</v>
      </c>
      <c r="M48" s="62"/>
    </row>
    <row r="49" spans="1:16" s="43" customFormat="1" ht="25.5" x14ac:dyDescent="0.25">
      <c r="A49" s="34" t="s">
        <v>177</v>
      </c>
      <c r="B49" s="34" t="s">
        <v>82</v>
      </c>
      <c r="C49" s="34" t="s">
        <v>83</v>
      </c>
      <c r="D49" s="35">
        <v>7.1429000000000006E-2</v>
      </c>
      <c r="E49" s="36">
        <f>'Oct 26'!$D49*$C$6*$C$2</f>
        <v>10675860.32770621</v>
      </c>
      <c r="F49" s="36">
        <v>249389</v>
      </c>
      <c r="G49" s="37">
        <f>'Oct 26'!$E49/'Oct 26'!$F49</f>
        <v>42.808064219777975</v>
      </c>
      <c r="H49" s="34">
        <v>53</v>
      </c>
      <c r="I49" s="34">
        <v>53</v>
      </c>
      <c r="J49" s="38">
        <f t="shared" si="2"/>
        <v>0</v>
      </c>
      <c r="K49" s="39">
        <f>'Oct 26'!$F49*'Oct 26'!$I49</f>
        <v>13217617</v>
      </c>
      <c r="L49" s="40">
        <f>'Oct 26'!$K49/$K$2</f>
        <v>7.8736091818739529E-2</v>
      </c>
      <c r="M49" s="41"/>
    </row>
    <row r="50" spans="1:16" s="43" customFormat="1" ht="25.5" x14ac:dyDescent="0.25">
      <c r="A50" s="34" t="s">
        <v>177</v>
      </c>
      <c r="B50" s="34" t="s">
        <v>184</v>
      </c>
      <c r="C50" s="34" t="s">
        <v>105</v>
      </c>
      <c r="D50" s="35">
        <v>7.1429000000000006E-2</v>
      </c>
      <c r="E50" s="36">
        <f>'Oct 26'!$D50*$C$6*$C$2</f>
        <v>10675860.32770621</v>
      </c>
      <c r="F50" s="36">
        <v>416332.8125</v>
      </c>
      <c r="G50" s="37">
        <f>'Oct 26'!$E50/'Oct 26'!$F50</f>
        <v>25.642610928501366</v>
      </c>
      <c r="H50" s="34">
        <v>32</v>
      </c>
      <c r="I50" s="34">
        <v>32</v>
      </c>
      <c r="J50" s="38">
        <f t="shared" si="2"/>
        <v>0</v>
      </c>
      <c r="K50" s="39">
        <f>'Oct 26'!$F50*'Oct 26'!$I50</f>
        <v>13322650</v>
      </c>
      <c r="L50" s="40">
        <f>'Oct 26'!$K50/$K$2</f>
        <v>7.9361763445629438E-2</v>
      </c>
      <c r="M50" s="41"/>
    </row>
    <row r="51" spans="1:16" s="43" customFormat="1" ht="25.5" x14ac:dyDescent="0.25">
      <c r="A51" s="34" t="s">
        <v>177</v>
      </c>
      <c r="B51" s="34" t="s">
        <v>107</v>
      </c>
      <c r="C51" s="34" t="s">
        <v>108</v>
      </c>
      <c r="D51" s="35">
        <v>7.1429000000000006E-2</v>
      </c>
      <c r="E51" s="36">
        <f>'Oct 26'!$D51*$C$6*$C$2</f>
        <v>10675860.32770621</v>
      </c>
      <c r="F51" s="36">
        <v>249799.905660377</v>
      </c>
      <c r="G51" s="37">
        <f>'Oct 26'!$E51/'Oct 26'!$F51</f>
        <v>42.737647556284102</v>
      </c>
      <c r="H51" s="34">
        <v>53</v>
      </c>
      <c r="I51" s="34">
        <v>53</v>
      </c>
      <c r="J51" s="38">
        <f t="shared" si="2"/>
        <v>0</v>
      </c>
      <c r="K51" s="39">
        <f>'Oct 26'!$F51*'Oct 26'!$I51</f>
        <v>13239394.999999981</v>
      </c>
      <c r="L51" s="40">
        <f>'Oct 26'!$K51/$K$2</f>
        <v>7.8865821300810851E-2</v>
      </c>
      <c r="M51" s="41"/>
    </row>
    <row r="52" spans="1:16" s="43" customFormat="1" ht="25.5" x14ac:dyDescent="0.25">
      <c r="A52" s="34" t="s">
        <v>177</v>
      </c>
      <c r="B52" s="34" t="s">
        <v>85</v>
      </c>
      <c r="C52" s="34" t="s">
        <v>86</v>
      </c>
      <c r="D52" s="35">
        <v>7.1429000000000006E-2</v>
      </c>
      <c r="E52" s="36">
        <f>'Oct 26'!$D52*$C$6*$C$2</f>
        <v>10675860.32770621</v>
      </c>
      <c r="F52" s="36">
        <v>162412.13414634101</v>
      </c>
      <c r="G52" s="37">
        <f>'Oct 26'!$E52/'Oct 26'!$F52</f>
        <v>65.733144778990194</v>
      </c>
      <c r="H52" s="34">
        <v>82</v>
      </c>
      <c r="I52" s="34">
        <v>82</v>
      </c>
      <c r="J52" s="38">
        <f t="shared" si="2"/>
        <v>0</v>
      </c>
      <c r="K52" s="39">
        <f>'Oct 26'!$F52*'Oct 26'!$I52</f>
        <v>13317794.999999963</v>
      </c>
      <c r="L52" s="40">
        <f>'Oct 26'!$K52/$K$2</f>
        <v>7.9332842670743697E-2</v>
      </c>
      <c r="M52" s="41"/>
    </row>
    <row r="53" spans="1:16" s="43" customFormat="1" ht="25.5" x14ac:dyDescent="0.25">
      <c r="A53" s="34" t="s">
        <v>177</v>
      </c>
      <c r="B53" s="34" t="s">
        <v>186</v>
      </c>
      <c r="C53" s="34" t="s">
        <v>187</v>
      </c>
      <c r="D53" s="35">
        <v>7.1429000000000006E-2</v>
      </c>
      <c r="E53" s="36">
        <f>'Oct 26'!$D53*$C$6*$C$2</f>
        <v>10675860.32770621</v>
      </c>
      <c r="F53" s="36">
        <v>175068.223684211</v>
      </c>
      <c r="G53" s="37">
        <f>'Oct 26'!$E53/'Oct 26'!$F53</f>
        <v>60.981142682771399</v>
      </c>
      <c r="H53" s="34">
        <v>76</v>
      </c>
      <c r="I53" s="34">
        <v>76</v>
      </c>
      <c r="J53" s="38">
        <f t="shared" si="2"/>
        <v>0</v>
      </c>
      <c r="K53" s="39">
        <f>'Oct 26'!$F53*'Oct 26'!$I53</f>
        <v>13305185.000000035</v>
      </c>
      <c r="L53" s="40">
        <f>'Oct 26'!$K53/$K$2</f>
        <v>7.9257726095809763E-2</v>
      </c>
      <c r="M53" s="41"/>
    </row>
    <row r="54" spans="1:16" s="43" customFormat="1" ht="25.5" x14ac:dyDescent="0.25">
      <c r="A54" s="34" t="s">
        <v>177</v>
      </c>
      <c r="B54" s="34" t="s">
        <v>188</v>
      </c>
      <c r="C54" s="34" t="s">
        <v>189</v>
      </c>
      <c r="D54" s="35">
        <v>7.1429000000000006E-2</v>
      </c>
      <c r="E54" s="36">
        <f>'Oct 26'!$D54*$C$6*$C$2</f>
        <v>10675860.32770621</v>
      </c>
      <c r="F54" s="36">
        <v>710796.89473684202</v>
      </c>
      <c r="G54" s="37">
        <f>'Oct 26'!$E54/'Oct 26'!$F54</f>
        <v>15.019565232707901</v>
      </c>
      <c r="H54" s="34">
        <v>19</v>
      </c>
      <c r="I54" s="34">
        <v>19</v>
      </c>
      <c r="J54" s="38">
        <f t="shared" si="2"/>
        <v>0</v>
      </c>
      <c r="K54" s="39">
        <f>'Oct 26'!$F54*'Oct 26'!$I54</f>
        <v>13505140.999999998</v>
      </c>
      <c r="L54" s="40">
        <f>'Oct 26'!$K54/$K$2</f>
        <v>8.0448845037726813E-2</v>
      </c>
      <c r="M54" s="41"/>
    </row>
    <row r="55" spans="1:16" s="44" customFormat="1" ht="12.75" x14ac:dyDescent="0.25">
      <c r="A55" s="34"/>
      <c r="B55" s="34"/>
      <c r="C55" s="34"/>
      <c r="D55" s="35"/>
      <c r="E55" s="36"/>
      <c r="F55" s="36"/>
      <c r="G55" s="37"/>
      <c r="H55" s="34"/>
      <c r="I55" s="34"/>
      <c r="J55" s="45"/>
      <c r="K55" s="36"/>
      <c r="L55" s="40"/>
      <c r="M55" s="34"/>
    </row>
    <row r="56" spans="1:16" s="53" customFormat="1" ht="25.5" x14ac:dyDescent="0.25">
      <c r="A56" s="47" t="s">
        <v>190</v>
      </c>
      <c r="B56" s="47"/>
      <c r="C56" s="47"/>
      <c r="D56" s="55">
        <f>SUBTOTAL(9,D48:D55)</f>
        <v>0.50000300000000009</v>
      </c>
      <c r="E56" s="49">
        <f>'Oct 26'!$D56*$C$6*$C$2</f>
        <v>74731022.29394348</v>
      </c>
      <c r="F56" s="68"/>
      <c r="G56" s="68"/>
      <c r="H56" s="54"/>
      <c r="I56" s="54"/>
      <c r="J56" s="58"/>
      <c r="K56" s="49">
        <f>SUM(K48:K55)</f>
        <v>93230354.999999985</v>
      </c>
      <c r="L56" s="71">
        <f>'Oct 26'!$K56/$K$2</f>
        <v>0.55536438917648168</v>
      </c>
      <c r="M56" s="47"/>
    </row>
    <row r="57" spans="1:16" s="44" customFormat="1" ht="12.75" x14ac:dyDescent="0.25">
      <c r="A57" s="34"/>
      <c r="B57" s="34"/>
      <c r="C57" s="34"/>
      <c r="D57" s="35"/>
      <c r="E57" s="36"/>
      <c r="F57" s="36"/>
      <c r="G57" s="37"/>
      <c r="H57" s="34"/>
      <c r="I57" s="34"/>
      <c r="J57" s="45"/>
      <c r="K57" s="36"/>
      <c r="L57" s="40"/>
      <c r="M57" s="34"/>
    </row>
    <row r="58" spans="1:16" s="43" customFormat="1" ht="12.75" x14ac:dyDescent="0.25">
      <c r="A58" s="34"/>
      <c r="B58" s="34"/>
      <c r="C58" s="34"/>
      <c r="D58" s="35"/>
      <c r="E58" s="36"/>
      <c r="F58" s="36"/>
      <c r="G58" s="72"/>
      <c r="H58" s="34"/>
      <c r="I58" s="34"/>
      <c r="J58" s="38"/>
      <c r="K58" s="39"/>
      <c r="L58" s="40"/>
      <c r="M58" s="41"/>
    </row>
    <row r="59" spans="1:16" s="43" customFormat="1" ht="25.5" x14ac:dyDescent="0.25">
      <c r="A59" s="34" t="s">
        <v>191</v>
      </c>
      <c r="B59" s="34" t="s">
        <v>63</v>
      </c>
      <c r="C59" s="34" t="s">
        <v>64</v>
      </c>
      <c r="D59" s="35">
        <v>9.8400000000000007E-4</v>
      </c>
      <c r="E59" s="36">
        <f>'Oct 26'!$D59*$C$6*$C$2</f>
        <v>147069.76945586401</v>
      </c>
      <c r="F59" s="36">
        <v>45924.333333333299</v>
      </c>
      <c r="G59" s="72">
        <f>'Oct 26'!$E59/'Oct 26'!$F59</f>
        <v>3.2024366774882767</v>
      </c>
      <c r="H59" s="34">
        <v>3</v>
      </c>
      <c r="I59" s="34">
        <v>3</v>
      </c>
      <c r="J59" s="38">
        <f t="shared" ref="J59:J68" si="3">I59-H59</f>
        <v>0</v>
      </c>
      <c r="K59" s="39">
        <f>'Oct 26'!$F59*'Oct 26'!$I59</f>
        <v>137772.99999999988</v>
      </c>
      <c r="L59" s="40">
        <f>'Oct 26'!$K59/$K$2</f>
        <v>8.2070070407874523E-4</v>
      </c>
      <c r="M59" s="41"/>
    </row>
    <row r="60" spans="1:16" s="43" customFormat="1" ht="25.5" x14ac:dyDescent="0.25">
      <c r="A60" s="34" t="s">
        <v>191</v>
      </c>
      <c r="B60" s="34" t="s">
        <v>73</v>
      </c>
      <c r="C60" s="34" t="s">
        <v>74</v>
      </c>
      <c r="D60" s="35">
        <v>9.8400000000000007E-4</v>
      </c>
      <c r="E60" s="36">
        <f>'Oct 26'!$D60*$C$6*$C$2</f>
        <v>147069.76945586401</v>
      </c>
      <c r="F60" s="36">
        <v>170456</v>
      </c>
      <c r="G60" s="72">
        <f>'Oct 26'!$E60/'Oct 26'!$F60</f>
        <v>0.86280195156441553</v>
      </c>
      <c r="H60" s="34">
        <v>1</v>
      </c>
      <c r="I60" s="34">
        <v>1</v>
      </c>
      <c r="J60" s="38">
        <f t="shared" si="3"/>
        <v>0</v>
      </c>
      <c r="K60" s="39">
        <f>'Oct 26'!$F60*'Oct 26'!$I60</f>
        <v>170456</v>
      </c>
      <c r="L60" s="40">
        <f>'Oct 26'!$K60/$K$2</f>
        <v>1.0153902376695485E-3</v>
      </c>
      <c r="M60" s="41"/>
      <c r="P60" s="43" t="s">
        <v>194</v>
      </c>
    </row>
    <row r="61" spans="1:16" s="43" customFormat="1" ht="25.5" x14ac:dyDescent="0.25">
      <c r="A61" s="34" t="s">
        <v>191</v>
      </c>
      <c r="B61" s="34" t="s">
        <v>92</v>
      </c>
      <c r="C61" s="34" t="s">
        <v>93</v>
      </c>
      <c r="D61" s="35">
        <v>9.8400000000000007E-4</v>
      </c>
      <c r="E61" s="36">
        <f>'Oct 26'!$D61*$C$6*$C$2</f>
        <v>147069.76945586401</v>
      </c>
      <c r="F61" s="36">
        <v>92828.5</v>
      </c>
      <c r="G61" s="72">
        <f>'Oct 26'!$E61/'Oct 26'!$F61</f>
        <v>1.5843169873030805</v>
      </c>
      <c r="H61" s="34">
        <v>2</v>
      </c>
      <c r="I61" s="34">
        <v>2</v>
      </c>
      <c r="J61" s="38">
        <f t="shared" si="3"/>
        <v>0</v>
      </c>
      <c r="K61" s="39">
        <f>'Oct 26'!$F61*'Oct 26'!$I61</f>
        <v>185657</v>
      </c>
      <c r="L61" s="40">
        <f>'Oct 26'!$K61/$K$2</f>
        <v>1.1059411540515756E-3</v>
      </c>
      <c r="M61" s="41"/>
    </row>
    <row r="62" spans="1:16" s="43" customFormat="1" ht="25.5" x14ac:dyDescent="0.25">
      <c r="A62" s="34" t="s">
        <v>191</v>
      </c>
      <c r="B62" s="34" t="s">
        <v>94</v>
      </c>
      <c r="C62" s="34" t="s">
        <v>95</v>
      </c>
      <c r="D62" s="35">
        <v>9.8400000000000007E-4</v>
      </c>
      <c r="E62" s="36">
        <f>'Oct 26'!$D62*$C$6*$C$2</f>
        <v>147069.76945586401</v>
      </c>
      <c r="F62" s="36">
        <v>238517</v>
      </c>
      <c r="G62" s="72">
        <f>'Oct 26'!$E62/'Oct 26'!$F62</f>
        <v>0.61660078508393112</v>
      </c>
      <c r="H62" s="34">
        <v>1</v>
      </c>
      <c r="I62" s="34">
        <v>1</v>
      </c>
      <c r="J62" s="38">
        <f t="shared" si="3"/>
        <v>0</v>
      </c>
      <c r="K62" s="39">
        <f>'Oct 26'!$F62*'Oct 26'!$I62</f>
        <v>238517</v>
      </c>
      <c r="L62" s="40">
        <f>'Oct 26'!$K62/$K$2</f>
        <v>1.4208231644425994E-3</v>
      </c>
      <c r="M62" s="41"/>
    </row>
    <row r="63" spans="1:16" s="43" customFormat="1" ht="25.5" x14ac:dyDescent="0.25">
      <c r="A63" s="34" t="s">
        <v>191</v>
      </c>
      <c r="B63" s="34" t="s">
        <v>200</v>
      </c>
      <c r="C63" s="34" t="s">
        <v>99</v>
      </c>
      <c r="D63" s="35">
        <v>9.8400000000000007E-4</v>
      </c>
      <c r="E63" s="36">
        <f>'Oct 26'!$D63*$C$6*$C$2</f>
        <v>147069.76945586401</v>
      </c>
      <c r="F63" s="36">
        <v>11988</v>
      </c>
      <c r="G63" s="72">
        <f>'Oct 26'!$E63/'Oct 26'!$F63</f>
        <v>12.268082203525527</v>
      </c>
      <c r="H63" s="34">
        <v>12</v>
      </c>
      <c r="I63" s="34">
        <v>12</v>
      </c>
      <c r="J63" s="38">
        <f t="shared" si="3"/>
        <v>0</v>
      </c>
      <c r="K63" s="39">
        <f>'Oct 26'!$F63*'Oct 26'!$I63</f>
        <v>143856</v>
      </c>
      <c r="L63" s="40">
        <f>'Oct 26'!$K63/$K$2</f>
        <v>8.5693655858515142E-4</v>
      </c>
      <c r="M63" s="41"/>
    </row>
    <row r="64" spans="1:16" s="43" customFormat="1" ht="25.5" x14ac:dyDescent="0.25">
      <c r="A64" s="34" t="s">
        <v>191</v>
      </c>
      <c r="B64" s="34" t="s">
        <v>101</v>
      </c>
      <c r="C64" s="34" t="s">
        <v>102</v>
      </c>
      <c r="D64" s="35">
        <v>9.8400000000000007E-4</v>
      </c>
      <c r="E64" s="36">
        <f>'Oct 26'!$D64*$C$6*$C$2</f>
        <v>147069.76945586401</v>
      </c>
      <c r="F64" s="36">
        <v>92077.5</v>
      </c>
      <c r="G64" s="72">
        <f>'Oct 26'!$E64/'Oct 26'!$F64</f>
        <v>1.5972389504044311</v>
      </c>
      <c r="H64" s="34">
        <v>2</v>
      </c>
      <c r="I64" s="34">
        <v>2</v>
      </c>
      <c r="J64" s="38">
        <f t="shared" si="3"/>
        <v>0</v>
      </c>
      <c r="K64" s="39">
        <f>'Oct 26'!$F64*'Oct 26'!$I64</f>
        <v>184155</v>
      </c>
      <c r="L64" s="40">
        <f>'Oct 26'!$K64/$K$2</f>
        <v>1.096993882398013E-3</v>
      </c>
      <c r="M64" s="41"/>
    </row>
    <row r="65" spans="1:13" s="2" customFormat="1" ht="25.5" x14ac:dyDescent="0.2">
      <c r="A65" s="34" t="s">
        <v>191</v>
      </c>
      <c r="B65" s="61" t="s">
        <v>132</v>
      </c>
      <c r="C65" s="61" t="s">
        <v>133</v>
      </c>
      <c r="D65" s="35">
        <v>9.8400000000000007E-4</v>
      </c>
      <c r="E65" s="36">
        <f>'Oct 26'!$D65*$C$6*$C$2</f>
        <v>147069.76945586401</v>
      </c>
      <c r="F65" s="36">
        <v>63167</v>
      </c>
      <c r="G65" s="72">
        <f>'Oct 26'!$E65/'Oct 26'!$F65</f>
        <v>2.3282690242668482</v>
      </c>
      <c r="H65" s="34">
        <v>2</v>
      </c>
      <c r="I65" s="34">
        <v>2</v>
      </c>
      <c r="J65" s="38">
        <f t="shared" si="3"/>
        <v>0</v>
      </c>
      <c r="K65" s="39">
        <f>'Oct 26'!$F65*'Oct 26'!$I65</f>
        <v>126334</v>
      </c>
      <c r="L65" s="40">
        <f>'Oct 26'!$K65/$K$2</f>
        <v>7.525596651672264E-4</v>
      </c>
      <c r="M65" s="62"/>
    </row>
    <row r="66" spans="1:13" s="43" customFormat="1" ht="25.5" x14ac:dyDescent="0.25">
      <c r="A66" s="34" t="s">
        <v>191</v>
      </c>
      <c r="B66" s="34" t="s">
        <v>89</v>
      </c>
      <c r="C66" s="34" t="s">
        <v>90</v>
      </c>
      <c r="D66" s="35">
        <v>9.8400000000000007E-4</v>
      </c>
      <c r="E66" s="36">
        <f>'Oct 26'!$D66*$C$6*$C$2</f>
        <v>147069.76945586401</v>
      </c>
      <c r="F66" s="36">
        <v>32290</v>
      </c>
      <c r="G66" s="72">
        <f>'Oct 26'!$E66/'Oct 26'!$F66</f>
        <v>4.5546537459233205</v>
      </c>
      <c r="H66" s="34">
        <v>5</v>
      </c>
      <c r="I66" s="34">
        <v>5</v>
      </c>
      <c r="J66" s="38">
        <f t="shared" si="3"/>
        <v>0</v>
      </c>
      <c r="K66" s="39">
        <f>'Oct 26'!$F66*'Oct 26'!$I66</f>
        <v>161450</v>
      </c>
      <c r="L66" s="40">
        <f>'Oct 26'!$K66/$K$2</f>
        <v>9.6174234917954554E-4</v>
      </c>
      <c r="M66" s="41"/>
    </row>
    <row r="67" spans="1:13" s="43" customFormat="1" ht="25.5" x14ac:dyDescent="0.25">
      <c r="A67" s="34" t="s">
        <v>191</v>
      </c>
      <c r="B67" s="34" t="s">
        <v>113</v>
      </c>
      <c r="C67" s="34" t="s">
        <v>114</v>
      </c>
      <c r="D67" s="35">
        <v>9.8400000000000007E-4</v>
      </c>
      <c r="E67" s="36">
        <f>'Oct 26'!$D67*$C$6*$C$2</f>
        <v>147069.76945586401</v>
      </c>
      <c r="F67" s="36">
        <v>8466.0555555555493</v>
      </c>
      <c r="G67" s="72">
        <f>'Oct 26'!$E67/'Oct 26'!$F67</f>
        <v>17.371699074116599</v>
      </c>
      <c r="H67" s="34">
        <v>18</v>
      </c>
      <c r="I67" s="34">
        <v>17</v>
      </c>
      <c r="J67" s="38">
        <f t="shared" si="3"/>
        <v>-1</v>
      </c>
      <c r="K67" s="39">
        <f>'Oct 26'!$F67*'Oct 26'!$I67</f>
        <v>143922.94444444435</v>
      </c>
      <c r="L67" s="40">
        <f>'Oct 26'!$K67/$K$2</f>
        <v>8.5733534029629687E-4</v>
      </c>
      <c r="M67" s="41"/>
    </row>
    <row r="68" spans="1:13" s="43" customFormat="1" ht="25.5" x14ac:dyDescent="0.25">
      <c r="A68" s="34" t="s">
        <v>191</v>
      </c>
      <c r="B68" s="34" t="s">
        <v>96</v>
      </c>
      <c r="C68" s="34" t="s">
        <v>97</v>
      </c>
      <c r="D68" s="35">
        <v>9.8400000000000007E-4</v>
      </c>
      <c r="E68" s="36">
        <f>'Oct 26'!$D68*$C$6*$C$2</f>
        <v>147069.76945586401</v>
      </c>
      <c r="F68" s="36">
        <v>46069.666666666701</v>
      </c>
      <c r="G68" s="72">
        <f>'Oct 26'!$E68/'Oct 26'!$F68</f>
        <v>3.1923341343008897</v>
      </c>
      <c r="H68" s="34">
        <v>3</v>
      </c>
      <c r="I68" s="34">
        <v>3</v>
      </c>
      <c r="J68" s="38">
        <f t="shared" si="3"/>
        <v>0</v>
      </c>
      <c r="K68" s="39">
        <f>'Oct 26'!$F68*'Oct 26'!$I68</f>
        <v>138209.00000000012</v>
      </c>
      <c r="L68" s="40">
        <f>'Oct 26'!$K68/$K$2</f>
        <v>8.2329791475847585E-4</v>
      </c>
      <c r="M68" s="41"/>
    </row>
    <row r="69" spans="1:13" s="43" customFormat="1" ht="12.75" x14ac:dyDescent="0.25">
      <c r="A69" s="34"/>
      <c r="B69" s="34"/>
      <c r="C69" s="34"/>
      <c r="D69" s="35"/>
      <c r="E69" s="36"/>
      <c r="F69" s="36"/>
      <c r="G69" s="37"/>
      <c r="H69" s="34"/>
      <c r="I69" s="34"/>
      <c r="J69" s="41"/>
      <c r="K69" s="39"/>
      <c r="L69" s="40"/>
      <c r="M69" s="41"/>
    </row>
    <row r="70" spans="1:13" s="43" customFormat="1" ht="12.75" x14ac:dyDescent="0.25">
      <c r="A70" s="34"/>
      <c r="B70" s="34"/>
      <c r="C70" s="34"/>
      <c r="D70" s="35"/>
      <c r="E70" s="36"/>
      <c r="F70" s="36"/>
      <c r="G70" s="37"/>
      <c r="H70" s="34"/>
      <c r="I70" s="34"/>
      <c r="J70" s="41"/>
      <c r="K70" s="39"/>
      <c r="L70" s="40"/>
      <c r="M70" s="41"/>
    </row>
    <row r="71" spans="1:13" s="43" customFormat="1" ht="12.75" x14ac:dyDescent="0.25">
      <c r="A71" s="34"/>
      <c r="B71" s="34"/>
      <c r="C71" s="34"/>
      <c r="D71" s="35"/>
      <c r="E71" s="36"/>
      <c r="F71" s="36"/>
      <c r="G71" s="37"/>
      <c r="H71" s="34"/>
      <c r="I71" s="34"/>
      <c r="J71" s="41"/>
      <c r="K71" s="39"/>
      <c r="L71" s="40"/>
      <c r="M71" s="41"/>
    </row>
    <row r="72" spans="1:13" s="15" customFormat="1" ht="12.75" x14ac:dyDescent="0.2">
      <c r="A72" s="47" t="s">
        <v>205</v>
      </c>
      <c r="B72" s="65"/>
      <c r="C72" s="65"/>
      <c r="D72" s="88">
        <f>SUM(D59:D71)</f>
        <v>9.8400000000000033E-3</v>
      </c>
      <c r="E72" s="49">
        <f>SUM(E58:E71)</f>
        <v>1470697.6945586402</v>
      </c>
      <c r="F72" s="68"/>
      <c r="G72" s="68"/>
      <c r="H72" s="65"/>
      <c r="I72" s="65"/>
      <c r="J72" s="47"/>
      <c r="K72" s="49">
        <f>SUM(K58:K71)</f>
        <v>1630329.9444444445</v>
      </c>
      <c r="L72" s="52">
        <f>'Oct 26'!$K72/$K$2</f>
        <v>9.7117209706271794E-3</v>
      </c>
      <c r="M72" s="59"/>
    </row>
    <row r="73" spans="1:13" s="2" customFormat="1" ht="12.75" x14ac:dyDescent="0.2">
      <c r="A73" s="34"/>
      <c r="B73" s="61"/>
      <c r="C73" s="61"/>
      <c r="D73" s="74"/>
      <c r="E73" s="36"/>
      <c r="F73" s="36"/>
      <c r="G73" s="37"/>
      <c r="H73" s="61"/>
      <c r="I73" s="61"/>
      <c r="J73" s="34"/>
      <c r="K73" s="34"/>
      <c r="L73" s="40"/>
      <c r="M73" s="62"/>
    </row>
    <row r="74" spans="1:13" s="43" customFormat="1" ht="25.5" x14ac:dyDescent="0.25">
      <c r="A74" s="47" t="s">
        <v>206</v>
      </c>
      <c r="B74" s="54" t="s">
        <v>118</v>
      </c>
      <c r="C74" s="54" t="s">
        <v>119</v>
      </c>
      <c r="D74" s="55">
        <v>8.0470000000000003E-3</v>
      </c>
      <c r="E74" s="56">
        <f>'Oct 26'!$D74*$C$6*$C$2</f>
        <v>1202713.8565155871</v>
      </c>
      <c r="F74" s="56">
        <v>29697.816666666698</v>
      </c>
      <c r="G74" s="57">
        <f>'Oct 26'!$E74/'Oct 26'!$F74</f>
        <v>40.49839319890247</v>
      </c>
      <c r="H74" s="54">
        <v>60</v>
      </c>
      <c r="I74" s="54">
        <v>40</v>
      </c>
      <c r="J74" s="75">
        <f>I74-H74</f>
        <v>-20</v>
      </c>
      <c r="K74" s="56">
        <f>'Oct 26'!$F74*'Oct 26'!$I74</f>
        <v>1187912.6666666679</v>
      </c>
      <c r="L74" s="76">
        <f>'Oct 26'!$K74/$K$2</f>
        <v>7.0762831753492699E-3</v>
      </c>
      <c r="M74" s="54"/>
    </row>
    <row r="75" spans="1:13" s="2" customFormat="1" ht="12.75" x14ac:dyDescent="0.2">
      <c r="A75" s="34"/>
      <c r="B75" s="61"/>
      <c r="C75" s="61"/>
      <c r="D75" s="74"/>
      <c r="E75" s="36"/>
      <c r="F75" s="36"/>
      <c r="G75" s="37"/>
      <c r="H75" s="61"/>
      <c r="I75" s="61"/>
      <c r="J75" s="34"/>
      <c r="K75" s="34"/>
      <c r="L75" s="40"/>
      <c r="M75" s="62"/>
    </row>
    <row r="76" spans="1:13" s="2" customFormat="1" ht="12.75" x14ac:dyDescent="0.2">
      <c r="A76" s="34"/>
      <c r="B76" s="61"/>
      <c r="C76" s="61"/>
      <c r="D76" s="77"/>
      <c r="E76" s="63"/>
      <c r="F76" s="36"/>
      <c r="G76" s="37"/>
      <c r="H76" s="61"/>
      <c r="I76" s="61"/>
      <c r="J76" s="34"/>
      <c r="K76" s="34"/>
      <c r="L76" s="40"/>
      <c r="M76" s="62"/>
    </row>
    <row r="77" spans="1:13" s="15" customFormat="1" ht="12.75" x14ac:dyDescent="0.2">
      <c r="A77" s="47" t="s">
        <v>208</v>
      </c>
      <c r="B77" s="65"/>
      <c r="C77" s="65"/>
      <c r="D77" s="65"/>
      <c r="E77" s="78"/>
      <c r="F77" s="78"/>
      <c r="G77" s="47"/>
      <c r="H77" s="65"/>
      <c r="I77" s="65"/>
      <c r="J77" s="65"/>
      <c r="K77" s="78">
        <f>SUM(K31,K33,K46,K56,K72,K74:K74)</f>
        <v>167872403.807248</v>
      </c>
      <c r="L77" s="52">
        <f>'Oct 26'!$K77/$K$2</f>
        <v>0.99999999999999978</v>
      </c>
      <c r="M77" s="65"/>
    </row>
    <row r="78" spans="1:13" s="2" customFormat="1" ht="12.75" x14ac:dyDescent="0.2">
      <c r="A78" s="62"/>
      <c r="B78" s="62"/>
      <c r="C78" s="62"/>
      <c r="D78" s="79"/>
      <c r="E78" s="80"/>
      <c r="F78" s="36"/>
      <c r="G78" s="81"/>
      <c r="H78" s="62"/>
      <c r="I78" s="62"/>
      <c r="J78" s="62"/>
      <c r="K78" s="62"/>
      <c r="L78" s="40"/>
      <c r="M78" s="62"/>
    </row>
    <row r="79" spans="1:13" s="2" customFormat="1" ht="12.75" x14ac:dyDescent="0.2">
      <c r="A79" s="62"/>
      <c r="B79" s="62"/>
      <c r="C79" s="62"/>
      <c r="D79" s="79"/>
      <c r="E79" s="80"/>
      <c r="F79" s="36"/>
      <c r="G79" s="81"/>
      <c r="H79" s="62"/>
      <c r="I79" s="62"/>
      <c r="J79" s="62"/>
      <c r="K79" s="62"/>
      <c r="L79" s="40"/>
      <c r="M79" s="62"/>
    </row>
    <row r="80" spans="1:13" s="2" customFormat="1" ht="12.75" x14ac:dyDescent="0.2">
      <c r="A80" s="62"/>
      <c r="B80" s="62"/>
      <c r="C80" s="62"/>
      <c r="D80" s="79"/>
      <c r="E80" s="80"/>
      <c r="F80" s="36"/>
      <c r="G80" s="81"/>
      <c r="H80" s="62"/>
      <c r="I80" s="62"/>
      <c r="J80" s="62"/>
      <c r="K80" s="62"/>
      <c r="L80" s="40"/>
      <c r="M80" s="62"/>
    </row>
    <row r="81" spans="1:13" s="2" customFormat="1" ht="12.75" x14ac:dyDescent="0.2">
      <c r="A81" s="62"/>
      <c r="B81" s="62"/>
      <c r="C81" s="62"/>
      <c r="D81" s="79"/>
      <c r="E81" s="80"/>
      <c r="F81" s="36"/>
      <c r="G81" s="81"/>
      <c r="H81" s="62"/>
      <c r="I81" s="62"/>
      <c r="J81" s="62"/>
      <c r="K81" s="62"/>
      <c r="L81" s="40"/>
      <c r="M81" s="62"/>
    </row>
    <row r="82" spans="1:13" s="2" customFormat="1" ht="12.75" x14ac:dyDescent="0.2">
      <c r="A82" s="62"/>
      <c r="B82" s="62"/>
      <c r="C82" s="62"/>
      <c r="D82" s="79"/>
      <c r="E82" s="80"/>
      <c r="F82" s="36"/>
      <c r="G82" s="81"/>
      <c r="H82" s="62"/>
      <c r="I82" s="62"/>
      <c r="J82" s="62"/>
      <c r="K82" s="62"/>
      <c r="L82" s="40"/>
      <c r="M82" s="62"/>
    </row>
    <row r="83" spans="1:13" s="2" customFormat="1" ht="12.75" x14ac:dyDescent="0.2">
      <c r="A83" s="62"/>
      <c r="B83" s="62"/>
      <c r="C83" s="62"/>
      <c r="D83" s="79"/>
      <c r="E83" s="80"/>
      <c r="F83" s="36"/>
      <c r="G83" s="81"/>
      <c r="H83" s="62"/>
      <c r="I83" s="62"/>
      <c r="J83" s="62"/>
      <c r="K83" s="62"/>
      <c r="L83" s="40"/>
      <c r="M83" s="62"/>
    </row>
    <row r="84" spans="1:13" s="2" customFormat="1" ht="12.75" x14ac:dyDescent="0.2">
      <c r="A84" s="62"/>
      <c r="B84" s="62"/>
      <c r="C84" s="62"/>
      <c r="D84" s="79"/>
      <c r="E84" s="80"/>
      <c r="F84" s="36"/>
      <c r="G84" s="81"/>
      <c r="H84" s="62"/>
      <c r="I84" s="62"/>
      <c r="J84" s="62"/>
      <c r="K84" s="62"/>
      <c r="L84" s="40"/>
      <c r="M84" s="62"/>
    </row>
    <row r="85" spans="1:13" s="2" customFormat="1" ht="12.75" x14ac:dyDescent="0.2">
      <c r="A85" s="62"/>
      <c r="B85" s="62"/>
      <c r="C85" s="62"/>
      <c r="D85" s="79"/>
      <c r="E85" s="80"/>
      <c r="F85" s="36"/>
      <c r="G85" s="81"/>
      <c r="H85" s="62"/>
      <c r="I85" s="62"/>
      <c r="J85" s="62"/>
      <c r="K85" s="62"/>
      <c r="L85" s="40"/>
      <c r="M85" s="62"/>
    </row>
    <row r="86" spans="1:13" s="2" customFormat="1" ht="12.75" x14ac:dyDescent="0.2">
      <c r="A86" s="62"/>
      <c r="B86" s="62"/>
      <c r="C86" s="62"/>
      <c r="D86" s="79"/>
      <c r="E86" s="80"/>
      <c r="F86" s="36"/>
      <c r="G86" s="81"/>
      <c r="H86" s="62"/>
      <c r="I86" s="62"/>
      <c r="J86" s="62"/>
      <c r="K86" s="62"/>
      <c r="L86" s="40"/>
      <c r="M86" s="62"/>
    </row>
    <row r="87" spans="1:13" s="2" customFormat="1" ht="12.75" x14ac:dyDescent="0.2"/>
    <row r="88" spans="1:13" s="2" customFormat="1" ht="12.75" x14ac:dyDescent="0.2"/>
    <row r="90" spans="1:13" s="2" customFormat="1" ht="12.75" x14ac:dyDescent="0.2">
      <c r="A90" s="82"/>
      <c r="B90" s="82"/>
      <c r="E90" s="82"/>
      <c r="F90" s="82"/>
      <c r="G90" s="82"/>
      <c r="H90" s="83"/>
      <c r="M90" s="82"/>
    </row>
    <row r="91" spans="1:13" s="2" customFormat="1" ht="12.75" x14ac:dyDescent="0.2">
      <c r="A91" s="82"/>
      <c r="B91" s="82"/>
      <c r="E91" s="82"/>
      <c r="F91" s="82"/>
      <c r="G91" s="82"/>
      <c r="H91" s="83"/>
      <c r="M91" s="82"/>
    </row>
    <row r="92" spans="1:13" s="2" customFormat="1" ht="12.75" x14ac:dyDescent="0.2">
      <c r="A92" s="84"/>
      <c r="B92" s="84"/>
    </row>
    <row r="93" spans="1:13" s="2" customFormat="1" ht="12.75" x14ac:dyDescent="0.2">
      <c r="A93" s="85"/>
      <c r="B93" s="85"/>
      <c r="E93" s="85"/>
      <c r="F93" s="84"/>
      <c r="G93" s="84"/>
      <c r="M93" s="86"/>
    </row>
    <row r="94" spans="1:13" s="2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H91"/>
  <sheetViews>
    <sheetView zoomScale="125" zoomScaleNormal="125" workbookViewId="0">
      <pane xSplit="2" topLeftCell="C1" activePane="topRight" state="frozen"/>
      <selection pane="topRight" activeCell="N16" sqref="N16"/>
    </sheetView>
  </sheetViews>
  <sheetFormatPr defaultColWidth="9.140625" defaultRowHeight="15" x14ac:dyDescent="0.25"/>
  <cols>
    <col min="1" max="2" width="15.140625" style="2" customWidth="1"/>
    <col min="3" max="3" width="29.28515625" style="2" customWidth="1"/>
    <col min="4" max="4" width="14.85546875" style="2" customWidth="1"/>
    <col min="5" max="5" width="27.42578125" style="2" customWidth="1"/>
    <col min="6" max="7" width="13.7109375" style="2" customWidth="1"/>
    <col min="8" max="8" width="16.5703125" style="2" customWidth="1"/>
    <col min="9" max="9" width="15.5703125" style="2" customWidth="1"/>
    <col min="10" max="10" width="13.42578125" customWidth="1"/>
    <col min="11" max="11" width="23.5703125" customWidth="1"/>
    <col min="12" max="12" width="13.42578125" customWidth="1"/>
    <col min="13" max="13" width="22.5703125" style="2" customWidth="1"/>
    <col min="14" max="16" width="10.85546875" style="2" customWidth="1"/>
    <col min="17" max="17" width="11.28515625" style="2" customWidth="1"/>
    <col min="18" max="1022" width="9.140625" style="2"/>
  </cols>
  <sheetData>
    <row r="1" spans="1:17" s="2" customFormat="1" ht="25.5" x14ac:dyDescent="0.2">
      <c r="A1" s="3"/>
      <c r="B1" s="3" t="s">
        <v>138</v>
      </c>
      <c r="C1" s="4">
        <v>44105</v>
      </c>
      <c r="D1" s="5"/>
      <c r="E1" s="6" t="s">
        <v>139</v>
      </c>
      <c r="F1" s="7"/>
      <c r="G1" s="8"/>
      <c r="K1" s="9" t="s">
        <v>140</v>
      </c>
      <c r="L1" s="9" t="s">
        <v>141</v>
      </c>
      <c r="M1" s="10" t="s">
        <v>142</v>
      </c>
    </row>
    <row r="2" spans="1:17" x14ac:dyDescent="0.25">
      <c r="A2" s="3"/>
      <c r="B2" s="3" t="s">
        <v>143</v>
      </c>
      <c r="C2" s="11">
        <v>8.07</v>
      </c>
      <c r="D2" s="12"/>
      <c r="E2" s="13">
        <f>SUM(E24,E39,E49,E69,E26,E71)</f>
        <v>150478957.57682964</v>
      </c>
      <c r="F2" s="14"/>
      <c r="G2" s="15"/>
      <c r="H2" s="12"/>
      <c r="I2" s="12"/>
      <c r="J2" s="12"/>
      <c r="K2" s="13">
        <f>SUM(K24,K39,K49,K69,K26,K71)</f>
        <v>150719194.4025901</v>
      </c>
      <c r="L2" s="16">
        <f>SUM(L49,L69,L39,L24,L26,L71)</f>
        <v>1</v>
      </c>
      <c r="M2" s="17">
        <f>K2/$C$6</f>
        <v>8.0829401834152446</v>
      </c>
      <c r="N2" s="18"/>
    </row>
    <row r="3" spans="1:17" ht="26.25" x14ac:dyDescent="0.25">
      <c r="A3" s="3"/>
      <c r="B3" s="3" t="s">
        <v>144</v>
      </c>
      <c r="C3" s="19">
        <v>18646580.449999999</v>
      </c>
      <c r="D3" s="20"/>
      <c r="E3" s="6" t="s">
        <v>145</v>
      </c>
      <c r="F3" s="14"/>
      <c r="G3" s="15"/>
      <c r="H3" s="12"/>
      <c r="I3" s="12"/>
      <c r="J3" s="12"/>
      <c r="K3" s="6" t="s">
        <v>145</v>
      </c>
      <c r="L3" s="12"/>
      <c r="M3" s="10" t="s">
        <v>146</v>
      </c>
      <c r="N3" s="21"/>
    </row>
    <row r="4" spans="1:17" x14ac:dyDescent="0.25">
      <c r="A4" s="3"/>
      <c r="B4" s="3" t="s">
        <v>147</v>
      </c>
      <c r="C4" s="19">
        <v>0</v>
      </c>
      <c r="D4" s="20"/>
      <c r="E4" s="13">
        <f>SUM(E24,E69,E26)</f>
        <v>25278482.176041223</v>
      </c>
      <c r="F4" s="14"/>
      <c r="G4" s="15"/>
      <c r="H4" s="12"/>
      <c r="I4" s="12"/>
      <c r="J4" s="12"/>
      <c r="K4" s="13">
        <f>SUM(K24,K26,K69)</f>
        <v>25333299.001875311</v>
      </c>
      <c r="L4" s="12"/>
      <c r="M4" s="17">
        <f>K4/$C$6</f>
        <v>1.3586029390110137</v>
      </c>
      <c r="N4" s="21"/>
    </row>
    <row r="5" spans="1:17" x14ac:dyDescent="0.25">
      <c r="A5" s="3"/>
      <c r="B5" s="3" t="s">
        <v>148</v>
      </c>
      <c r="C5" s="19">
        <v>0</v>
      </c>
      <c r="D5" s="20"/>
      <c r="E5" s="14"/>
      <c r="F5" s="14"/>
      <c r="G5" s="22">
        <f>SUM(D24,D26,D39,D49,D69,D71)</f>
        <v>1.0000070000000003</v>
      </c>
      <c r="H5" s="12"/>
      <c r="I5" s="12"/>
      <c r="J5" s="12"/>
      <c r="K5" s="12"/>
      <c r="L5" s="12"/>
      <c r="M5" s="12"/>
      <c r="N5" s="21"/>
    </row>
    <row r="6" spans="1:17" x14ac:dyDescent="0.25">
      <c r="A6" s="3"/>
      <c r="B6" s="3" t="s">
        <v>149</v>
      </c>
      <c r="C6" s="19">
        <f>C3+C4-C5</f>
        <v>18646580.449999999</v>
      </c>
      <c r="D6" s="20"/>
      <c r="E6" s="14"/>
      <c r="F6" s="14"/>
      <c r="G6" s="15"/>
      <c r="H6" s="12"/>
      <c r="I6" s="12"/>
      <c r="J6" s="12"/>
      <c r="K6" s="12"/>
      <c r="L6" s="12"/>
      <c r="M6" s="12"/>
      <c r="N6" s="21"/>
    </row>
    <row r="7" spans="1:17" x14ac:dyDescent="0.25">
      <c r="A7" s="23"/>
      <c r="B7" s="24"/>
      <c r="C7" s="24"/>
      <c r="D7" s="25"/>
      <c r="E7" s="26"/>
      <c r="F7" s="26"/>
      <c r="G7" s="26"/>
      <c r="H7" s="27"/>
      <c r="I7" s="27"/>
      <c r="J7" s="27"/>
      <c r="K7" s="12"/>
      <c r="L7" s="12"/>
      <c r="M7" s="12"/>
      <c r="N7" s="21"/>
    </row>
    <row r="8" spans="1:17" s="32" customFormat="1" ht="38.25" x14ac:dyDescent="0.2">
      <c r="A8" s="28" t="s">
        <v>150</v>
      </c>
      <c r="B8" s="28" t="s">
        <v>151</v>
      </c>
      <c r="C8" s="29" t="s">
        <v>1</v>
      </c>
      <c r="D8" s="29" t="s">
        <v>152</v>
      </c>
      <c r="E8" s="29" t="s">
        <v>153</v>
      </c>
      <c r="F8" s="29" t="s">
        <v>154</v>
      </c>
      <c r="G8" s="29" t="s">
        <v>155</v>
      </c>
      <c r="H8" s="29" t="s">
        <v>156</v>
      </c>
      <c r="I8" s="29" t="s">
        <v>157</v>
      </c>
      <c r="J8" s="29" t="s">
        <v>158</v>
      </c>
      <c r="K8" s="30" t="s">
        <v>159</v>
      </c>
      <c r="L8" s="30" t="s">
        <v>160</v>
      </c>
      <c r="M8" s="30" t="s">
        <v>161</v>
      </c>
      <c r="N8" s="31"/>
      <c r="Q8" s="33"/>
    </row>
    <row r="9" spans="1:17" s="43" customFormat="1" ht="12.75" x14ac:dyDescent="0.25">
      <c r="A9" s="34" t="s">
        <v>162</v>
      </c>
      <c r="B9" s="34" t="s">
        <v>46</v>
      </c>
      <c r="C9" s="34" t="s">
        <v>47</v>
      </c>
      <c r="D9" s="35">
        <v>9.1760000000000001E-3</v>
      </c>
      <c r="E9" s="36">
        <f>'Oct 01'!$D9*$C$6*$C$2</f>
        <v>1380785.2492282439</v>
      </c>
      <c r="F9" s="36">
        <v>550.5</v>
      </c>
      <c r="G9" s="37">
        <f>'Oct 01'!$E9/'Oct 01'!$F9</f>
        <v>2508.2384182166102</v>
      </c>
      <c r="H9" s="34">
        <v>2362</v>
      </c>
      <c r="I9" s="34">
        <v>2508</v>
      </c>
      <c r="J9" s="38">
        <f t="shared" ref="J9:J22" si="0">I9-H9</f>
        <v>146</v>
      </c>
      <c r="K9" s="39">
        <f>'Oct 01'!$F9*'Oct 01'!$I9</f>
        <v>1380654</v>
      </c>
      <c r="L9" s="40">
        <f>'Oct 01'!$K9/$K$2</f>
        <v>9.1604390898752941E-3</v>
      </c>
      <c r="M9" s="41"/>
      <c r="N9" s="42"/>
    </row>
    <row r="10" spans="1:17" s="43" customFormat="1" ht="12.75" customHeight="1" x14ac:dyDescent="0.25">
      <c r="A10" s="34" t="s">
        <v>162</v>
      </c>
      <c r="B10" s="34" t="s">
        <v>55</v>
      </c>
      <c r="C10" s="34" t="s">
        <v>56</v>
      </c>
      <c r="D10" s="35">
        <v>9.1760000000000001E-3</v>
      </c>
      <c r="E10" s="36">
        <f>'Oct 01'!$D10*$C$6*$C$2</f>
        <v>1380785.2492282439</v>
      </c>
      <c r="F10" s="36">
        <v>441.50016650016602</v>
      </c>
      <c r="G10" s="37">
        <f>'Oct 01'!$E10/'Oct 01'!$F10</f>
        <v>3127.4852287688204</v>
      </c>
      <c r="H10" s="34">
        <v>3003</v>
      </c>
      <c r="I10" s="34">
        <v>3127</v>
      </c>
      <c r="J10" s="38">
        <f t="shared" si="0"/>
        <v>124</v>
      </c>
      <c r="K10" s="39">
        <f>'Oct 01'!$F10*'Oct 01'!$I10</f>
        <v>1380571.0206460191</v>
      </c>
      <c r="L10" s="40">
        <f>'Oct 01'!$K10/$K$2</f>
        <v>9.1598885338939565E-3</v>
      </c>
      <c r="M10" s="41"/>
    </row>
    <row r="11" spans="1:17" s="43" customFormat="1" ht="12.75" customHeight="1" x14ac:dyDescent="0.25">
      <c r="A11" s="34" t="s">
        <v>162</v>
      </c>
      <c r="B11" s="34" t="s">
        <v>37</v>
      </c>
      <c r="C11" s="34" t="s">
        <v>38</v>
      </c>
      <c r="D11" s="35">
        <v>9.1760000000000001E-3</v>
      </c>
      <c r="E11" s="36">
        <f>'Oct 01'!$D11*$C$6*$C$2</f>
        <v>1380785.2492282439</v>
      </c>
      <c r="F11" s="36">
        <v>78.650027195261998</v>
      </c>
      <c r="G11" s="37">
        <f>'Oct 01'!$E11/'Oct 01'!$F11</f>
        <v>17556.068299890234</v>
      </c>
      <c r="H11" s="34">
        <v>16547</v>
      </c>
      <c r="I11" s="34">
        <v>17556</v>
      </c>
      <c r="J11" s="38">
        <f t="shared" si="0"/>
        <v>1009</v>
      </c>
      <c r="K11" s="39">
        <f>'Oct 01'!$F11*'Oct 01'!$I11</f>
        <v>1380779.8774400197</v>
      </c>
      <c r="L11" s="40">
        <f>'Oct 01'!$K11/$K$2</f>
        <v>9.1612742684371133E-3</v>
      </c>
      <c r="M11" s="41"/>
    </row>
    <row r="12" spans="1:17" s="44" customFormat="1" ht="12.75" customHeight="1" x14ac:dyDescent="0.25">
      <c r="A12" s="34" t="s">
        <v>162</v>
      </c>
      <c r="B12" s="34" t="s">
        <v>23</v>
      </c>
      <c r="C12" s="34" t="s">
        <v>24</v>
      </c>
      <c r="D12" s="35">
        <v>9.1760000000000001E-3</v>
      </c>
      <c r="E12" s="36">
        <f>'Oct 01'!$D12*$C$6*$C$2</f>
        <v>1380785.2492282439</v>
      </c>
      <c r="F12" s="36">
        <v>216.29993160054701</v>
      </c>
      <c r="G12" s="37">
        <f>'Oct 01'!$E12/'Oct 01'!$F12</f>
        <v>6383.6601288354359</v>
      </c>
      <c r="H12" s="34">
        <v>5848</v>
      </c>
      <c r="I12" s="34">
        <v>6384</v>
      </c>
      <c r="J12" s="38">
        <f t="shared" si="0"/>
        <v>536</v>
      </c>
      <c r="K12" s="39">
        <f>'Oct 01'!$F12*'Oct 01'!$I12</f>
        <v>1380858.763337892</v>
      </c>
      <c r="L12" s="40">
        <f>'Oct 01'!$K12/$K$2</f>
        <v>9.1617976649307382E-3</v>
      </c>
      <c r="M12" s="34"/>
    </row>
    <row r="13" spans="1:17" s="44" customFormat="1" ht="12.75" customHeight="1" x14ac:dyDescent="0.25">
      <c r="A13" s="34" t="s">
        <v>162</v>
      </c>
      <c r="B13" s="34" t="s">
        <v>60</v>
      </c>
      <c r="C13" s="34" t="s">
        <v>61</v>
      </c>
      <c r="D13" s="35">
        <v>9.1760000000000001E-3</v>
      </c>
      <c r="E13" s="36">
        <f>'Oct 01'!$D13*$C$6*$C$2</f>
        <v>1380785.2492282439</v>
      </c>
      <c r="F13" s="36">
        <v>474</v>
      </c>
      <c r="G13" s="37">
        <f>'Oct 01'!$E13/'Oct 01'!$F13</f>
        <v>2913.0490490047341</v>
      </c>
      <c r="H13" s="34">
        <v>2701</v>
      </c>
      <c r="I13" s="34">
        <v>2913</v>
      </c>
      <c r="J13" s="38">
        <f t="shared" si="0"/>
        <v>212</v>
      </c>
      <c r="K13" s="39">
        <f>'Oct 01'!$F13*'Oct 01'!$I13</f>
        <v>1380762</v>
      </c>
      <c r="L13" s="40">
        <f>'Oct 01'!$K13/$K$2</f>
        <v>9.1611556542148809E-3</v>
      </c>
      <c r="M13" s="34"/>
    </row>
    <row r="14" spans="1:17" s="44" customFormat="1" ht="12.75" customHeight="1" x14ac:dyDescent="0.25">
      <c r="A14" s="34" t="s">
        <v>162</v>
      </c>
      <c r="B14" s="34" t="s">
        <v>163</v>
      </c>
      <c r="C14" s="34" t="s">
        <v>164</v>
      </c>
      <c r="D14" s="35">
        <v>9.1760000000000001E-3</v>
      </c>
      <c r="E14" s="36">
        <f>'Oct 01'!$D14*$C$6*$C$2</f>
        <v>1380785.2492282439</v>
      </c>
      <c r="F14" s="36">
        <v>3180</v>
      </c>
      <c r="G14" s="37">
        <f>'Oct 01'!$E14/'Oct 01'!$F14</f>
        <v>434.20919787051696</v>
      </c>
      <c r="H14" s="34">
        <v>399</v>
      </c>
      <c r="I14" s="34">
        <v>434</v>
      </c>
      <c r="J14" s="38">
        <f t="shared" si="0"/>
        <v>35</v>
      </c>
      <c r="K14" s="39">
        <f>'Oct 01'!$F14*'Oct 01'!$I14</f>
        <v>1380120</v>
      </c>
      <c r="L14" s="40">
        <f>'Oct 01'!$K14/$K$2</f>
        <v>9.1568960773073423E-3</v>
      </c>
      <c r="M14" s="34"/>
    </row>
    <row r="15" spans="1:17" s="44" customFormat="1" ht="12.75" customHeight="1" x14ac:dyDescent="0.25">
      <c r="A15" s="34" t="s">
        <v>162</v>
      </c>
      <c r="B15" s="34" t="s">
        <v>52</v>
      </c>
      <c r="C15" s="34" t="s">
        <v>53</v>
      </c>
      <c r="D15" s="35">
        <v>9.1760000000000001E-3</v>
      </c>
      <c r="E15" s="36">
        <f>'Oct 01'!$D15*$C$6*$C$2</f>
        <v>1380785.2492282439</v>
      </c>
      <c r="F15" s="36">
        <v>198.50007750736299</v>
      </c>
      <c r="G15" s="37">
        <f>'Oct 01'!$E15/'Oct 01'!$F15</f>
        <v>6956.0942573285711</v>
      </c>
      <c r="H15" s="34">
        <v>6451</v>
      </c>
      <c r="I15" s="34">
        <v>6956</v>
      </c>
      <c r="J15" s="38">
        <f t="shared" si="0"/>
        <v>505</v>
      </c>
      <c r="K15" s="39">
        <f>'Oct 01'!$F15*'Oct 01'!$I15</f>
        <v>1380766.539141217</v>
      </c>
      <c r="L15" s="40">
        <f>'Oct 01'!$K15/$K$2</f>
        <v>9.1611857707586623E-3</v>
      </c>
      <c r="M15" s="34"/>
    </row>
    <row r="16" spans="1:17" s="44" customFormat="1" ht="12.75" customHeight="1" x14ac:dyDescent="0.25">
      <c r="A16" s="34" t="s">
        <v>162</v>
      </c>
      <c r="B16" s="34" t="s">
        <v>165</v>
      </c>
      <c r="C16" s="34" t="s">
        <v>166</v>
      </c>
      <c r="D16" s="35">
        <v>9.1760000000000001E-3</v>
      </c>
      <c r="E16" s="36">
        <f>'Oct 01'!$D16*$C$6*$C$2</f>
        <v>1380785.2492282439</v>
      </c>
      <c r="F16" s="36">
        <v>274.90002197319302</v>
      </c>
      <c r="G16" s="37">
        <f>'Oct 01'!$E16/'Oct 01'!$F16</f>
        <v>5022.8633643503008</v>
      </c>
      <c r="H16" s="34">
        <v>4551</v>
      </c>
      <c r="I16" s="34">
        <v>5023</v>
      </c>
      <c r="J16" s="38">
        <f t="shared" si="0"/>
        <v>472</v>
      </c>
      <c r="K16" s="39">
        <f>'Oct 01'!$F16*'Oct 01'!$I16</f>
        <v>1380822.8103713486</v>
      </c>
      <c r="L16" s="40">
        <f>'Oct 01'!$K16/$K$2</f>
        <v>9.1615591222110413E-3</v>
      </c>
      <c r="M16" s="34"/>
    </row>
    <row r="17" spans="1:15" s="44" customFormat="1" ht="12.75" customHeight="1" x14ac:dyDescent="0.25">
      <c r="A17" s="34" t="s">
        <v>162</v>
      </c>
      <c r="B17" s="34" t="s">
        <v>43</v>
      </c>
      <c r="C17" s="34" t="s">
        <v>44</v>
      </c>
      <c r="D17" s="35">
        <v>9.1760000000000001E-3</v>
      </c>
      <c r="E17" s="36">
        <f>'Oct 01'!$D17*$C$6*$C$2</f>
        <v>1380785.2492282439</v>
      </c>
      <c r="F17" s="36">
        <v>1082.48</v>
      </c>
      <c r="G17" s="37">
        <f>'Oct 01'!$E17/'Oct 01'!$F17</f>
        <v>1275.575760502036</v>
      </c>
      <c r="H17" s="34">
        <v>1150</v>
      </c>
      <c r="I17" s="34">
        <v>1276</v>
      </c>
      <c r="J17" s="38">
        <f t="shared" si="0"/>
        <v>126</v>
      </c>
      <c r="K17" s="39">
        <f>'Oct 01'!$F17*'Oct 01'!$I17</f>
        <v>1381244.48</v>
      </c>
      <c r="L17" s="40">
        <f>'Oct 01'!$K17/$K$2</f>
        <v>9.1643568390534294E-3</v>
      </c>
      <c r="M17" s="34"/>
    </row>
    <row r="18" spans="1:15" s="44" customFormat="1" ht="12.75" customHeight="1" x14ac:dyDescent="0.25">
      <c r="A18" s="34" t="s">
        <v>162</v>
      </c>
      <c r="B18" s="34" t="s">
        <v>167</v>
      </c>
      <c r="C18" s="34" t="s">
        <v>168</v>
      </c>
      <c r="D18" s="35">
        <v>9.1760000000000001E-3</v>
      </c>
      <c r="E18" s="36">
        <f>'Oct 01'!$D18*$C$6*$C$2</f>
        <v>1380785.2492282439</v>
      </c>
      <c r="F18" s="36">
        <v>167.74996617507799</v>
      </c>
      <c r="G18" s="37">
        <f>'Oct 01'!$E18/'Oct 01'!$F18</f>
        <v>8231.2102989465893</v>
      </c>
      <c r="H18" s="34">
        <v>7391</v>
      </c>
      <c r="I18" s="34">
        <v>8231</v>
      </c>
      <c r="J18" s="38">
        <f t="shared" si="0"/>
        <v>840</v>
      </c>
      <c r="K18" s="39">
        <f>'Oct 01'!$F18*'Oct 01'!$I18</f>
        <v>1380749.971587067</v>
      </c>
      <c r="L18" s="40">
        <f>'Oct 01'!$K18/$K$2</f>
        <v>9.1610758474392363E-3</v>
      </c>
      <c r="M18" s="34"/>
    </row>
    <row r="19" spans="1:15" s="44" customFormat="1" ht="12.75" customHeight="1" x14ac:dyDescent="0.25">
      <c r="A19" s="34" t="s">
        <v>162</v>
      </c>
      <c r="B19" s="34" t="s">
        <v>28</v>
      </c>
      <c r="C19" s="34" t="s">
        <v>29</v>
      </c>
      <c r="D19" s="35">
        <v>9.1760000000000001E-3</v>
      </c>
      <c r="E19" s="36">
        <f>'Oct 01'!$D19*$C$6*$C$2</f>
        <v>1380785.2492282439</v>
      </c>
      <c r="F19" s="36">
        <v>251.51995114006499</v>
      </c>
      <c r="G19" s="37">
        <f>'Oct 01'!$E19/'Oct 01'!$F19</f>
        <v>5489.7643028696366</v>
      </c>
      <c r="H19" s="34">
        <v>4912</v>
      </c>
      <c r="I19" s="34">
        <v>5490</v>
      </c>
      <c r="J19" s="38">
        <f t="shared" si="0"/>
        <v>578</v>
      </c>
      <c r="K19" s="39">
        <f>'Oct 01'!$F19*'Oct 01'!$I19</f>
        <v>1380844.5317589568</v>
      </c>
      <c r="L19" s="40">
        <f>'Oct 01'!$K19/$K$2</f>
        <v>9.1617032404681369E-3</v>
      </c>
      <c r="M19" s="34"/>
    </row>
    <row r="20" spans="1:15" s="44" customFormat="1" ht="12.75" customHeight="1" x14ac:dyDescent="0.25">
      <c r="A20" s="34" t="s">
        <v>162</v>
      </c>
      <c r="B20" s="34" t="s">
        <v>169</v>
      </c>
      <c r="C20" s="34" t="s">
        <v>170</v>
      </c>
      <c r="D20" s="35">
        <v>9.1760000000000001E-3</v>
      </c>
      <c r="E20" s="36">
        <f>'Oct 01'!$D20*$C$6*$C$2</f>
        <v>1380785.2492282439</v>
      </c>
      <c r="F20" s="36">
        <v>195.60006134028501</v>
      </c>
      <c r="G20" s="37">
        <f>'Oct 01'!$E20/'Oct 01'!$F20</f>
        <v>7059.2270767548216</v>
      </c>
      <c r="H20" s="34">
        <v>6521</v>
      </c>
      <c r="I20" s="34">
        <v>7059</v>
      </c>
      <c r="J20" s="38">
        <f t="shared" si="0"/>
        <v>538</v>
      </c>
      <c r="K20" s="39">
        <f>'Oct 01'!$F20*'Oct 01'!$I20</f>
        <v>1380740.8330010718</v>
      </c>
      <c r="L20" s="40">
        <f>'Oct 01'!$K20/$K$2</f>
        <v>9.1610152142462872E-3</v>
      </c>
      <c r="M20" s="34"/>
    </row>
    <row r="21" spans="1:15" s="44" customFormat="1" ht="12.75" customHeight="1" x14ac:dyDescent="0.25">
      <c r="A21" s="34" t="s">
        <v>162</v>
      </c>
      <c r="B21" s="34" t="s">
        <v>171</v>
      </c>
      <c r="C21" s="34" t="s">
        <v>172</v>
      </c>
      <c r="D21" s="35">
        <v>9.1760000000000001E-3</v>
      </c>
      <c r="E21" s="36">
        <f>'Oct 01'!$D21*$C$6*$C$2</f>
        <v>1380785.2492282439</v>
      </c>
      <c r="F21" s="36">
        <v>211.16002735510301</v>
      </c>
      <c r="G21" s="37">
        <f>'Oct 01'!$E21/'Oct 01'!$F21</f>
        <v>6539.0465540440982</v>
      </c>
      <c r="H21" s="34">
        <v>5849</v>
      </c>
      <c r="I21" s="34">
        <v>6539</v>
      </c>
      <c r="J21" s="38">
        <f t="shared" si="0"/>
        <v>690</v>
      </c>
      <c r="K21" s="39">
        <f>'Oct 01'!$F21*'Oct 01'!$I21</f>
        <v>1380775.4188750186</v>
      </c>
      <c r="L21" s="40">
        <f>'Oct 01'!$K21/$K$2</f>
        <v>9.1612446865048398E-3</v>
      </c>
      <c r="M21" s="34"/>
    </row>
    <row r="22" spans="1:15" s="44" customFormat="1" ht="12.75" customHeight="1" x14ac:dyDescent="0.25">
      <c r="A22" s="34" t="s">
        <v>162</v>
      </c>
      <c r="B22" s="34" t="s">
        <v>173</v>
      </c>
      <c r="C22" s="34" t="s">
        <v>174</v>
      </c>
      <c r="D22" s="35">
        <v>9.1760000000000001E-3</v>
      </c>
      <c r="E22" s="36">
        <f>'Oct 01'!$D22*$C$6*$C$2</f>
        <v>1380785.2492282439</v>
      </c>
      <c r="F22" s="36">
        <v>82.869979134063598</v>
      </c>
      <c r="G22" s="37">
        <f>'Oct 01'!$E22/'Oct 01'!$F22</f>
        <v>16662.068262313271</v>
      </c>
      <c r="H22" s="34">
        <v>15336</v>
      </c>
      <c r="I22" s="34">
        <v>16662</v>
      </c>
      <c r="J22" s="38">
        <f t="shared" si="0"/>
        <v>1326</v>
      </c>
      <c r="K22" s="39">
        <f>'Oct 01'!$F22*'Oct 01'!$I22</f>
        <v>1380779.5923317678</v>
      </c>
      <c r="L22" s="40">
        <f>'Oct 01'!$K22/$K$2</f>
        <v>9.1612723767852036E-3</v>
      </c>
      <c r="M22" s="34"/>
    </row>
    <row r="23" spans="1:15" s="44" customFormat="1" ht="12.75" customHeight="1" x14ac:dyDescent="0.25">
      <c r="A23" s="34"/>
      <c r="B23" s="34"/>
      <c r="C23" s="34"/>
      <c r="D23" s="35"/>
      <c r="E23" s="36"/>
      <c r="F23" s="36"/>
      <c r="G23" s="37"/>
      <c r="H23" s="34"/>
      <c r="I23" s="34"/>
      <c r="J23" s="45"/>
      <c r="K23" s="36"/>
      <c r="L23" s="46"/>
      <c r="M23" s="34"/>
    </row>
    <row r="24" spans="1:15" s="53" customFormat="1" ht="12.75" customHeight="1" x14ac:dyDescent="0.25">
      <c r="A24" s="47" t="s">
        <v>175</v>
      </c>
      <c r="B24" s="47"/>
      <c r="C24" s="47"/>
      <c r="D24" s="48">
        <f>SUM(D9:D23)</f>
        <v>0.12846400000000002</v>
      </c>
      <c r="E24" s="49">
        <f>'Oct 01'!$D24*$C$6*$C$2</f>
        <v>19330993.489195418</v>
      </c>
      <c r="F24" s="50"/>
      <c r="G24" s="50"/>
      <c r="H24" s="47"/>
      <c r="I24" s="47"/>
      <c r="J24" s="51"/>
      <c r="K24" s="49">
        <f>SUM(K9:K23)</f>
        <v>19330469.838490378</v>
      </c>
      <c r="L24" s="52">
        <f>'Oct 01'!$K24/$K$2</f>
        <v>0.12825486438612616</v>
      </c>
      <c r="M24" s="47"/>
    </row>
    <row r="25" spans="1:15" s="44" customFormat="1" ht="12.75" customHeight="1" x14ac:dyDescent="0.25">
      <c r="A25" s="34"/>
      <c r="B25" s="34"/>
      <c r="C25" s="34"/>
      <c r="D25" s="35"/>
      <c r="E25" s="36"/>
      <c r="F25" s="36"/>
      <c r="G25" s="37"/>
      <c r="H25" s="34"/>
      <c r="I25" s="34"/>
      <c r="J25" s="45"/>
      <c r="K25" s="36"/>
      <c r="L25" s="40"/>
      <c r="M25" s="34"/>
    </row>
    <row r="26" spans="1:15" s="43" customFormat="1" ht="12.75" customHeight="1" x14ac:dyDescent="0.25">
      <c r="A26" s="54"/>
      <c r="B26" s="47" t="s">
        <v>34</v>
      </c>
      <c r="C26" s="54" t="s">
        <v>35</v>
      </c>
      <c r="D26" s="55">
        <v>2.4704E-2</v>
      </c>
      <c r="E26" s="56">
        <f>'Oct 01'!$D26*$C$6*$C$2</f>
        <v>3717406.1461349758</v>
      </c>
      <c r="F26" s="50">
        <v>18.060001826376102</v>
      </c>
      <c r="G26" s="57">
        <f>'Oct 01'!$E26/'Oct 01'!$F26</f>
        <v>205836.42138428875</v>
      </c>
      <c r="H26" s="54">
        <v>186161</v>
      </c>
      <c r="I26" s="54">
        <v>205836</v>
      </c>
      <c r="J26" s="58">
        <f>I26-H26</f>
        <v>19675</v>
      </c>
      <c r="K26" s="59">
        <f>'Oct 01'!$F26*'Oct 01'!$I26</f>
        <v>3717398.5359339514</v>
      </c>
      <c r="L26" s="52">
        <f>'Oct 01'!$K26/$K$2</f>
        <v>2.4664400248878109E-2</v>
      </c>
      <c r="M26" s="47"/>
      <c r="O26" s="42"/>
    </row>
    <row r="27" spans="1:15" s="43" customFormat="1" ht="12.75" customHeight="1" x14ac:dyDescent="0.25">
      <c r="A27" s="34"/>
      <c r="B27" s="34"/>
      <c r="C27" s="34"/>
      <c r="D27" s="35"/>
      <c r="E27" s="36"/>
      <c r="F27" s="36"/>
      <c r="G27" s="37"/>
      <c r="H27" s="34"/>
      <c r="I27" s="34"/>
      <c r="J27" s="45"/>
      <c r="K27" s="39"/>
      <c r="L27" s="40"/>
      <c r="M27" s="34"/>
      <c r="O27" s="42"/>
    </row>
    <row r="28" spans="1:15" s="2" customFormat="1" ht="25.5" x14ac:dyDescent="0.2">
      <c r="A28" s="34" t="s">
        <v>176</v>
      </c>
      <c r="B28" s="60" t="s">
        <v>109</v>
      </c>
      <c r="C28" s="61" t="s">
        <v>110</v>
      </c>
      <c r="D28" s="35">
        <v>3.261E-2</v>
      </c>
      <c r="E28" s="36">
        <f>'Oct 01'!$D28*$C$6*$C$2</f>
        <v>4907084.4569892157</v>
      </c>
      <c r="F28" s="36">
        <v>159646.57142857101</v>
      </c>
      <c r="G28" s="37">
        <f>'Oct 01'!$E28/'Oct 01'!$F28</f>
        <v>30.737174078209009</v>
      </c>
      <c r="H28" s="34">
        <v>28</v>
      </c>
      <c r="I28" s="34">
        <v>31</v>
      </c>
      <c r="J28" s="38">
        <f t="shared" ref="J28:J37" si="1">I28-H28</f>
        <v>3</v>
      </c>
      <c r="K28" s="39">
        <f>'Oct 01'!$F28*'Oct 01'!$I28</f>
        <v>4949043.7142857015</v>
      </c>
      <c r="L28" s="40">
        <f>'Oct 01'!$K28/$K$2</f>
        <v>3.2836187413967842E-2</v>
      </c>
      <c r="M28" s="62"/>
    </row>
    <row r="29" spans="1:15" s="2" customFormat="1" ht="25.5" x14ac:dyDescent="0.2">
      <c r="A29" s="34" t="s">
        <v>176</v>
      </c>
      <c r="B29" s="60" t="s">
        <v>115</v>
      </c>
      <c r="C29" s="61" t="s">
        <v>116</v>
      </c>
      <c r="D29" s="35">
        <v>3.261E-2</v>
      </c>
      <c r="E29" s="36">
        <f>'Oct 01'!$D29*$C$6*$C$2</f>
        <v>4907084.4569892157</v>
      </c>
      <c r="F29" s="36">
        <v>221136.45</v>
      </c>
      <c r="G29" s="37">
        <f>'Oct 01'!$E29/'Oct 01'!$F29</f>
        <v>22.190301313913718</v>
      </c>
      <c r="H29" s="34">
        <v>20</v>
      </c>
      <c r="I29" s="34">
        <v>22</v>
      </c>
      <c r="J29" s="38">
        <f t="shared" si="1"/>
        <v>2</v>
      </c>
      <c r="K29" s="39">
        <f>'Oct 01'!$F29*'Oct 01'!$I29</f>
        <v>4865001.9000000004</v>
      </c>
      <c r="L29" s="40">
        <f>'Oct 01'!$K29/$K$2</f>
        <v>3.2278582162567585E-2</v>
      </c>
      <c r="M29" s="62"/>
    </row>
    <row r="30" spans="1:15" s="2" customFormat="1" ht="25.5" x14ac:dyDescent="0.2">
      <c r="A30" s="34" t="s">
        <v>176</v>
      </c>
      <c r="B30" s="60" t="s">
        <v>121</v>
      </c>
      <c r="C30" s="61" t="s">
        <v>122</v>
      </c>
      <c r="D30" s="35">
        <v>3.261E-2</v>
      </c>
      <c r="E30" s="36">
        <f>'Oct 01'!$D30*$C$6*$C$2</f>
        <v>4907084.4569892157</v>
      </c>
      <c r="F30" s="36">
        <v>175848.2</v>
      </c>
      <c r="G30" s="37">
        <f>'Oct 01'!$E30/'Oct 01'!$F30</f>
        <v>27.905229948269106</v>
      </c>
      <c r="H30" s="34">
        <v>25</v>
      </c>
      <c r="I30" s="34">
        <v>28</v>
      </c>
      <c r="J30" s="38">
        <f t="shared" si="1"/>
        <v>3</v>
      </c>
      <c r="K30" s="39">
        <f>'Oct 01'!$F30*'Oct 01'!$I30</f>
        <v>4923749.6000000006</v>
      </c>
      <c r="L30" s="40">
        <f>'Oct 01'!$K30/$K$2</f>
        <v>3.2668364633425789E-2</v>
      </c>
      <c r="M30" s="62"/>
    </row>
    <row r="31" spans="1:15" s="2" customFormat="1" ht="25.5" x14ac:dyDescent="0.2">
      <c r="A31" s="34" t="s">
        <v>176</v>
      </c>
      <c r="B31" s="60" t="s">
        <v>124</v>
      </c>
      <c r="C31" s="61" t="s">
        <v>125</v>
      </c>
      <c r="D31" s="35">
        <v>3.261E-2</v>
      </c>
      <c r="E31" s="36">
        <f>'Oct 01'!$D31*$C$6*$C$2</f>
        <v>4907084.4569892157</v>
      </c>
      <c r="F31" s="36">
        <v>125995.25714285699</v>
      </c>
      <c r="G31" s="37">
        <f>'Oct 01'!$E31/'Oct 01'!$F31</f>
        <v>38.946580754428112</v>
      </c>
      <c r="H31" s="34">
        <v>35</v>
      </c>
      <c r="I31" s="34">
        <v>39</v>
      </c>
      <c r="J31" s="38">
        <f t="shared" si="1"/>
        <v>4</v>
      </c>
      <c r="K31" s="39">
        <f>'Oct 01'!$F31*'Oct 01'!$I31</f>
        <v>4913815.0285714231</v>
      </c>
      <c r="L31" s="40">
        <f>'Oct 01'!$K31/$K$2</f>
        <v>3.2602450192548135E-2</v>
      </c>
      <c r="M31" s="62"/>
    </row>
    <row r="32" spans="1:15" s="2" customFormat="1" ht="25.5" x14ac:dyDescent="0.2">
      <c r="A32" s="34" t="s">
        <v>176</v>
      </c>
      <c r="B32" s="60" t="s">
        <v>127</v>
      </c>
      <c r="C32" s="61" t="s">
        <v>128</v>
      </c>
      <c r="D32" s="35">
        <v>3.261E-2</v>
      </c>
      <c r="E32" s="36">
        <f>'Oct 01'!$D32*$C$6*$C$2</f>
        <v>4907084.4569892157</v>
      </c>
      <c r="F32" s="36">
        <v>139427.9375</v>
      </c>
      <c r="G32" s="37">
        <f>'Oct 01'!$E32/'Oct 01'!$F32</f>
        <v>35.194413293169568</v>
      </c>
      <c r="H32" s="34">
        <v>32</v>
      </c>
      <c r="I32" s="34">
        <v>35</v>
      </c>
      <c r="J32" s="38">
        <f t="shared" si="1"/>
        <v>3</v>
      </c>
      <c r="K32" s="39">
        <f>'Oct 01'!$F32*'Oct 01'!$I32</f>
        <v>4879977.8125</v>
      </c>
      <c r="L32" s="40">
        <f>'Oct 01'!$K32/$K$2</f>
        <v>3.2377945170440334E-2</v>
      </c>
      <c r="M32" s="62"/>
    </row>
    <row r="33" spans="1:15" s="2" customFormat="1" ht="25.5" x14ac:dyDescent="0.2">
      <c r="A33" s="34" t="s">
        <v>176</v>
      </c>
      <c r="B33" s="60" t="s">
        <v>135</v>
      </c>
      <c r="C33" s="61" t="s">
        <v>136</v>
      </c>
      <c r="D33" s="35">
        <v>3.261E-2</v>
      </c>
      <c r="E33" s="36">
        <f>'Oct 01'!$D33*$C$6*$C$2</f>
        <v>4907084.4569892157</v>
      </c>
      <c r="F33" s="36">
        <v>220940.5</v>
      </c>
      <c r="G33" s="37">
        <f>'Oct 01'!$E33/'Oct 01'!$F33</f>
        <v>22.20998167827635</v>
      </c>
      <c r="H33" s="34">
        <v>20</v>
      </c>
      <c r="I33" s="34">
        <v>22</v>
      </c>
      <c r="J33" s="38">
        <f t="shared" si="1"/>
        <v>2</v>
      </c>
      <c r="K33" s="39">
        <f>'Oct 01'!$F33*'Oct 01'!$I33</f>
        <v>4860691</v>
      </c>
      <c r="L33" s="40">
        <f>'Oct 01'!$K33/$K$2</f>
        <v>3.2249979966164612E-2</v>
      </c>
      <c r="M33" s="62"/>
    </row>
    <row r="34" spans="1:15" s="43" customFormat="1" ht="25.5" customHeight="1" x14ac:dyDescent="0.25">
      <c r="A34" s="34" t="s">
        <v>177</v>
      </c>
      <c r="B34" s="34" t="s">
        <v>178</v>
      </c>
      <c r="C34" s="34" t="s">
        <v>179</v>
      </c>
      <c r="D34" s="35">
        <v>3.261E-2</v>
      </c>
      <c r="E34" s="36">
        <f>'Oct 01'!$D34*$C$6*$C$2</f>
        <v>4907084.4569892157</v>
      </c>
      <c r="F34" s="36">
        <v>96262.970588235301</v>
      </c>
      <c r="G34" s="37">
        <f>'Oct 01'!$E34/'Oct 01'!$F34</f>
        <v>50.975826187405552</v>
      </c>
      <c r="H34" s="34">
        <v>34</v>
      </c>
      <c r="I34" s="34">
        <v>51</v>
      </c>
      <c r="J34" s="38">
        <f t="shared" si="1"/>
        <v>17</v>
      </c>
      <c r="K34" s="39">
        <f>'Oct 01'!$F34*'Oct 01'!$I34</f>
        <v>4909411.5</v>
      </c>
      <c r="L34" s="40">
        <f>'Oct 01'!$K34/$K$2</f>
        <v>3.2573233419005275E-2</v>
      </c>
      <c r="M34" s="41"/>
      <c r="O34" s="42"/>
    </row>
    <row r="35" spans="1:15" s="43" customFormat="1" ht="25.5" customHeight="1" x14ac:dyDescent="0.25">
      <c r="A35" s="34" t="s">
        <v>177</v>
      </c>
      <c r="B35" s="34" t="s">
        <v>76</v>
      </c>
      <c r="C35" s="34" t="s">
        <v>77</v>
      </c>
      <c r="D35" s="35">
        <v>3.261E-2</v>
      </c>
      <c r="E35" s="36">
        <f>'Oct 01'!$D35*$C$6*$C$2</f>
        <v>4907084.4569892157</v>
      </c>
      <c r="F35" s="36">
        <v>114136.07692307699</v>
      </c>
      <c r="G35" s="37">
        <f>'Oct 01'!$E35/'Oct 01'!$F35</f>
        <v>42.993281259319858</v>
      </c>
      <c r="H35" s="34">
        <v>39</v>
      </c>
      <c r="I35" s="34">
        <v>43</v>
      </c>
      <c r="J35" s="38">
        <f t="shared" si="1"/>
        <v>4</v>
      </c>
      <c r="K35" s="39">
        <f>'Oct 01'!$F35*'Oct 01'!$I35</f>
        <v>4907851.3076923108</v>
      </c>
      <c r="L35" s="40">
        <f>'Oct 01'!$K35/$K$2</f>
        <v>3.2562881769277623E-2</v>
      </c>
      <c r="M35" s="41"/>
    </row>
    <row r="36" spans="1:15" s="43" customFormat="1" ht="25.5" customHeight="1" x14ac:dyDescent="0.25">
      <c r="A36" s="34" t="s">
        <v>177</v>
      </c>
      <c r="B36" s="34" t="s">
        <v>180</v>
      </c>
      <c r="C36" s="34" t="s">
        <v>181</v>
      </c>
      <c r="D36" s="35">
        <v>3.261E-2</v>
      </c>
      <c r="E36" s="36">
        <f>'Oct 01'!$D36*$C$6*$C$2</f>
        <v>4907084.4569892157</v>
      </c>
      <c r="F36" s="36">
        <v>114338.068965517</v>
      </c>
      <c r="G36" s="37">
        <f>'Oct 01'!$E36/'Oct 01'!$F36</f>
        <v>42.917328422514586</v>
      </c>
      <c r="H36" s="34">
        <v>29</v>
      </c>
      <c r="I36" s="34">
        <v>43</v>
      </c>
      <c r="J36" s="38">
        <f t="shared" si="1"/>
        <v>14</v>
      </c>
      <c r="K36" s="39">
        <f>'Oct 01'!$F36*'Oct 01'!$I36</f>
        <v>4916536.9655172313</v>
      </c>
      <c r="L36" s="40">
        <f>'Oct 01'!$K36/$K$2</f>
        <v>3.2620509849492274E-2</v>
      </c>
      <c r="M36" s="41"/>
    </row>
    <row r="37" spans="1:15" s="43" customFormat="1" ht="25.5" x14ac:dyDescent="0.25">
      <c r="A37" s="34" t="s">
        <v>177</v>
      </c>
      <c r="B37" s="34" t="s">
        <v>71</v>
      </c>
      <c r="C37" s="34" t="s">
        <v>72</v>
      </c>
      <c r="D37" s="35">
        <v>3.261E-2</v>
      </c>
      <c r="E37" s="36">
        <f>'Oct 01'!$D37*$C$6*$C$2</f>
        <v>4907084.4569892157</v>
      </c>
      <c r="F37" s="36">
        <v>132911.51515151499</v>
      </c>
      <c r="G37" s="37">
        <f>'Oct 01'!$E37/'Oct 01'!$F37</f>
        <v>36.919934675301022</v>
      </c>
      <c r="H37" s="34">
        <v>33</v>
      </c>
      <c r="I37" s="34">
        <v>37</v>
      </c>
      <c r="J37" s="38">
        <f t="shared" si="1"/>
        <v>4</v>
      </c>
      <c r="K37" s="39">
        <f>'Oct 01'!$F37*'Oct 01'!$I37</f>
        <v>4917726.060606055</v>
      </c>
      <c r="L37" s="40">
        <f>'Oct 01'!$K37/$K$2</f>
        <v>3.2628399322983274E-2</v>
      </c>
      <c r="M37" s="41"/>
    </row>
    <row r="38" spans="1:15" s="64" customFormat="1" ht="12.75" x14ac:dyDescent="0.2">
      <c r="A38" s="34"/>
      <c r="B38" s="61"/>
      <c r="C38" s="61"/>
      <c r="D38" s="35"/>
      <c r="E38" s="63"/>
      <c r="F38" s="36"/>
      <c r="G38" s="37"/>
      <c r="H38" s="34"/>
      <c r="I38" s="34"/>
      <c r="J38" s="45"/>
      <c r="K38" s="36"/>
      <c r="L38" s="46"/>
      <c r="M38" s="62"/>
    </row>
    <row r="39" spans="1:15" s="15" customFormat="1" ht="12.75" x14ac:dyDescent="0.2">
      <c r="A39" s="47" t="s">
        <v>182</v>
      </c>
      <c r="B39" s="65"/>
      <c r="C39" s="65"/>
      <c r="D39" s="55">
        <f>SUBTOTAL(9,D28:D38)</f>
        <v>0.32610000000000006</v>
      </c>
      <c r="E39" s="66">
        <f>'Oct 01'!$D39*$C$6*$C$2</f>
        <v>49070844.569892161</v>
      </c>
      <c r="F39" s="67"/>
      <c r="G39" s="68"/>
      <c r="H39" s="54"/>
      <c r="I39" s="54"/>
      <c r="J39" s="58"/>
      <c r="K39" s="66">
        <f>SUM(K28:K38)</f>
        <v>49043804.889172725</v>
      </c>
      <c r="L39" s="69">
        <f>'Oct 01'!$K39/$K$2</f>
        <v>0.32539853389987278</v>
      </c>
      <c r="M39" s="70"/>
    </row>
    <row r="40" spans="1:15" s="64" customFormat="1" ht="12.75" x14ac:dyDescent="0.2">
      <c r="A40" s="34"/>
      <c r="B40" s="61"/>
      <c r="C40" s="61"/>
      <c r="D40" s="35"/>
      <c r="E40" s="63"/>
      <c r="F40" s="36"/>
      <c r="G40" s="37"/>
      <c r="H40" s="34"/>
      <c r="I40" s="34"/>
      <c r="J40" s="45"/>
      <c r="K40" s="36"/>
      <c r="L40" s="40"/>
      <c r="M40" s="62"/>
    </row>
    <row r="41" spans="1:15" s="2" customFormat="1" ht="24.75" customHeight="1" x14ac:dyDescent="0.2">
      <c r="A41" s="34" t="s">
        <v>176</v>
      </c>
      <c r="B41" s="61" t="s">
        <v>183</v>
      </c>
      <c r="C41" s="61" t="s">
        <v>131</v>
      </c>
      <c r="D41" s="35">
        <v>7.1429000000000006E-2</v>
      </c>
      <c r="E41" s="36">
        <f>'Oct 01'!$D41*$C$6*$C$2</f>
        <v>10748486.221351814</v>
      </c>
      <c r="F41" s="36">
        <v>416356.21739130397</v>
      </c>
      <c r="G41" s="37">
        <f>'Oct 01'!$E41/'Oct 01'!$F41</f>
        <v>25.815601574769005</v>
      </c>
      <c r="H41" s="34">
        <v>23</v>
      </c>
      <c r="I41" s="34">
        <v>26</v>
      </c>
      <c r="J41" s="38">
        <f t="shared" ref="J41:J47" si="2">I41-H41</f>
        <v>3</v>
      </c>
      <c r="K41" s="39">
        <f>'Oct 01'!$F41*'Oct 01'!$I41</f>
        <v>10825261.652173903</v>
      </c>
      <c r="L41" s="40">
        <f>'Oct 01'!$K41/$K$2</f>
        <v>7.1824041357720206E-2</v>
      </c>
      <c r="M41" s="62"/>
    </row>
    <row r="42" spans="1:15" s="43" customFormat="1" ht="25.5" x14ac:dyDescent="0.25">
      <c r="A42" s="34" t="s">
        <v>177</v>
      </c>
      <c r="B42" s="34" t="s">
        <v>82</v>
      </c>
      <c r="C42" s="34" t="s">
        <v>83</v>
      </c>
      <c r="D42" s="35">
        <v>7.1429000000000006E-2</v>
      </c>
      <c r="E42" s="36">
        <f>'Oct 01'!$D42*$C$6*$C$2</f>
        <v>10748486.221351814</v>
      </c>
      <c r="F42" s="36">
        <v>249387.51282051299</v>
      </c>
      <c r="G42" s="37">
        <f>'Oct 01'!$E42/'Oct 01'!$F42</f>
        <v>43.099536539696842</v>
      </c>
      <c r="H42" s="34">
        <v>39</v>
      </c>
      <c r="I42" s="34">
        <v>43</v>
      </c>
      <c r="J42" s="38">
        <f t="shared" si="2"/>
        <v>4</v>
      </c>
      <c r="K42" s="39">
        <f>'Oct 01'!$F42*'Oct 01'!$I42</f>
        <v>10723663.051282059</v>
      </c>
      <c r="L42" s="40">
        <f>'Oct 01'!$K42/$K$2</f>
        <v>7.1149949372989574E-2</v>
      </c>
      <c r="M42" s="41"/>
    </row>
    <row r="43" spans="1:15" s="43" customFormat="1" ht="25.5" x14ac:dyDescent="0.25">
      <c r="A43" s="34" t="s">
        <v>177</v>
      </c>
      <c r="B43" s="34" t="s">
        <v>184</v>
      </c>
      <c r="C43" s="34" t="s">
        <v>105</v>
      </c>
      <c r="D43" s="35">
        <v>7.1429000000000006E-2</v>
      </c>
      <c r="E43" s="36">
        <f>'Oct 01'!$D43*$C$6*$C$2</f>
        <v>10748486.221351814</v>
      </c>
      <c r="F43" s="36">
        <v>416390.26086956501</v>
      </c>
      <c r="G43" s="37">
        <f>'Oct 01'!$E43/'Oct 01'!$F43</f>
        <v>25.813490927730406</v>
      </c>
      <c r="H43" s="34">
        <v>23</v>
      </c>
      <c r="I43" s="34">
        <v>26</v>
      </c>
      <c r="J43" s="38">
        <f t="shared" si="2"/>
        <v>3</v>
      </c>
      <c r="K43" s="39">
        <f>'Oct 01'!$F43*'Oct 01'!$I43</f>
        <v>10826146.78260869</v>
      </c>
      <c r="L43" s="40">
        <f>'Oct 01'!$K43/$K$2</f>
        <v>7.182991406980771E-2</v>
      </c>
      <c r="M43" s="41"/>
    </row>
    <row r="44" spans="1:15" s="43" customFormat="1" ht="25.5" x14ac:dyDescent="0.25">
      <c r="A44" s="34" t="s">
        <v>177</v>
      </c>
      <c r="B44" s="34" t="s">
        <v>107</v>
      </c>
      <c r="C44" s="34" t="s">
        <v>108</v>
      </c>
      <c r="D44" s="35">
        <v>7.1429000000000006E-2</v>
      </c>
      <c r="E44" s="36">
        <f>'Oct 01'!$D44*$C$6*$C$2</f>
        <v>10748486.221351814</v>
      </c>
      <c r="F44" s="36">
        <v>249835.51282051299</v>
      </c>
      <c r="G44" s="37">
        <f>'Oct 01'!$E44/'Oct 01'!$F44</f>
        <v>43.022251320506818</v>
      </c>
      <c r="H44" s="34">
        <v>39</v>
      </c>
      <c r="I44" s="34">
        <v>43</v>
      </c>
      <c r="J44" s="38">
        <f t="shared" si="2"/>
        <v>4</v>
      </c>
      <c r="K44" s="39">
        <f>'Oct 01'!$F44*'Oct 01'!$I44</f>
        <v>10742927.051282059</v>
      </c>
      <c r="L44" s="40">
        <f>'Oct 01'!$K44/$K$2</f>
        <v>7.1277763219635706E-2</v>
      </c>
      <c r="M44" s="41"/>
    </row>
    <row r="45" spans="1:15" s="43" customFormat="1" ht="25.5" x14ac:dyDescent="0.25">
      <c r="A45" s="34" t="s">
        <v>177</v>
      </c>
      <c r="B45" s="34" t="s">
        <v>185</v>
      </c>
      <c r="C45" s="34" t="s">
        <v>86</v>
      </c>
      <c r="D45" s="35">
        <v>7.1429000000000006E-2</v>
      </c>
      <c r="E45" s="36">
        <f>'Oct 01'!$D45*$C$6*$C$2</f>
        <v>10748486.221351814</v>
      </c>
      <c r="F45" s="36">
        <v>160454.79999999999</v>
      </c>
      <c r="G45" s="37">
        <f>'Oct 01'!$E45/'Oct 01'!$F45</f>
        <v>66.987626554966354</v>
      </c>
      <c r="H45" s="34">
        <v>60</v>
      </c>
      <c r="I45" s="34">
        <v>67</v>
      </c>
      <c r="J45" s="38">
        <f t="shared" si="2"/>
        <v>7</v>
      </c>
      <c r="K45" s="39">
        <f>'Oct 01'!$F45*'Oct 01'!$I45</f>
        <v>10750471.6</v>
      </c>
      <c r="L45" s="40">
        <f>'Oct 01'!$K45/$K$2</f>
        <v>7.1327820206390738E-2</v>
      </c>
      <c r="M45" s="41"/>
    </row>
    <row r="46" spans="1:15" s="43" customFormat="1" ht="25.5" x14ac:dyDescent="0.25">
      <c r="A46" s="34" t="s">
        <v>177</v>
      </c>
      <c r="B46" s="34" t="s">
        <v>186</v>
      </c>
      <c r="C46" s="34" t="s">
        <v>187</v>
      </c>
      <c r="D46" s="35">
        <v>7.1429000000000006E-2</v>
      </c>
      <c r="E46" s="36">
        <f>'Oct 01'!$D46*$C$6*$C$2</f>
        <v>10748486.221351814</v>
      </c>
      <c r="F46" s="36">
        <v>177056.92727272701</v>
      </c>
      <c r="G46" s="37">
        <f>'Oct 01'!$E46/'Oct 01'!$F46</f>
        <v>60.706386284426713</v>
      </c>
      <c r="H46" s="34">
        <v>55</v>
      </c>
      <c r="I46" s="34">
        <v>61</v>
      </c>
      <c r="J46" s="38">
        <f t="shared" si="2"/>
        <v>6</v>
      </c>
      <c r="K46" s="39">
        <f>'Oct 01'!$F46*'Oct 01'!$I46</f>
        <v>10800472.563636348</v>
      </c>
      <c r="L46" s="40">
        <f>'Oct 01'!$K46/$K$2</f>
        <v>7.1659569349786428E-2</v>
      </c>
      <c r="M46" s="41"/>
    </row>
    <row r="47" spans="1:15" s="43" customFormat="1" ht="25.5" x14ac:dyDescent="0.25">
      <c r="A47" s="34" t="s">
        <v>177</v>
      </c>
      <c r="B47" s="34" t="s">
        <v>188</v>
      </c>
      <c r="C47" s="34" t="s">
        <v>189</v>
      </c>
      <c r="D47" s="35">
        <v>7.1429000000000006E-2</v>
      </c>
      <c r="E47" s="36">
        <f>'Oct 01'!$D47*$C$6*$C$2</f>
        <v>10748486.221351814</v>
      </c>
      <c r="F47" s="36">
        <v>718731.07142857194</v>
      </c>
      <c r="G47" s="37">
        <f>'Oct 01'!$E47/'Oct 01'!$F47</f>
        <v>14.954809453260163</v>
      </c>
      <c r="H47" s="34">
        <v>14</v>
      </c>
      <c r="I47" s="34">
        <v>15</v>
      </c>
      <c r="J47" s="38">
        <f t="shared" si="2"/>
        <v>1</v>
      </c>
      <c r="K47" s="39">
        <f>'Oct 01'!$F47*'Oct 01'!$I47</f>
        <v>10780966.071428578</v>
      </c>
      <c r="L47" s="40">
        <f>'Oct 01'!$K47/$K$2</f>
        <v>7.1530146602504063E-2</v>
      </c>
      <c r="M47" s="41"/>
    </row>
    <row r="48" spans="1:15" s="44" customFormat="1" ht="12.75" x14ac:dyDescent="0.25">
      <c r="A48" s="34"/>
      <c r="B48" s="34"/>
      <c r="C48" s="34"/>
      <c r="D48" s="35"/>
      <c r="E48" s="36"/>
      <c r="F48" s="36"/>
      <c r="G48" s="37"/>
      <c r="H48" s="34"/>
      <c r="I48" s="34"/>
      <c r="J48" s="45"/>
      <c r="K48" s="36"/>
      <c r="L48" s="40"/>
      <c r="M48" s="34"/>
    </row>
    <row r="49" spans="1:16" s="53" customFormat="1" ht="25.5" x14ac:dyDescent="0.25">
      <c r="A49" s="47" t="s">
        <v>190</v>
      </c>
      <c r="B49" s="47"/>
      <c r="C49" s="47"/>
      <c r="D49" s="55">
        <f>SUBTOTAL(9,D41:D48)</f>
        <v>0.50000300000000009</v>
      </c>
      <c r="E49" s="49">
        <f>'Oct 01'!$D49*$C$6*$C$2</f>
        <v>75239403.549462706</v>
      </c>
      <c r="F49" s="68"/>
      <c r="G49" s="68"/>
      <c r="H49" s="54"/>
      <c r="I49" s="54"/>
      <c r="J49" s="58"/>
      <c r="K49" s="49">
        <f>SUM(K41:K48)</f>
        <v>75449908.77241163</v>
      </c>
      <c r="L49" s="71">
        <f>'Oct 01'!$K49/$K$2</f>
        <v>0.50059920417883441</v>
      </c>
      <c r="M49" s="47"/>
    </row>
    <row r="50" spans="1:16" s="44" customFormat="1" ht="12.75" x14ac:dyDescent="0.25">
      <c r="A50" s="34"/>
      <c r="B50" s="34"/>
      <c r="C50" s="34"/>
      <c r="D50" s="35"/>
      <c r="E50" s="36"/>
      <c r="F50" s="36"/>
      <c r="G50" s="37"/>
      <c r="H50" s="34"/>
      <c r="I50" s="34"/>
      <c r="J50" s="45"/>
      <c r="K50" s="36"/>
      <c r="L50" s="40"/>
      <c r="M50" s="34"/>
    </row>
    <row r="51" spans="1:16" s="43" customFormat="1" ht="12.75" x14ac:dyDescent="0.25">
      <c r="A51" s="34"/>
      <c r="B51" s="34"/>
      <c r="C51" s="34"/>
      <c r="D51" s="35"/>
      <c r="E51" s="36"/>
      <c r="F51" s="36"/>
      <c r="G51" s="72"/>
      <c r="H51" s="34"/>
      <c r="I51" s="34"/>
      <c r="J51" s="38"/>
      <c r="K51" s="39"/>
      <c r="L51" s="40"/>
      <c r="M51" s="41"/>
    </row>
    <row r="52" spans="1:16" s="43" customFormat="1" ht="25.5" x14ac:dyDescent="0.25">
      <c r="A52" s="34" t="s">
        <v>191</v>
      </c>
      <c r="B52" s="34" t="s">
        <v>192</v>
      </c>
      <c r="C52" s="34" t="s">
        <v>64</v>
      </c>
      <c r="D52" s="35">
        <v>1.482E-3</v>
      </c>
      <c r="E52" s="36">
        <f>'Oct 01'!$D52*$C$6*$C$2</f>
        <v>223008.25407108301</v>
      </c>
      <c r="F52" s="36">
        <v>43164.800000000003</v>
      </c>
      <c r="G52" s="72">
        <f>'Oct 01'!$E52/'Oct 01'!$F52</f>
        <v>5.166437793551296</v>
      </c>
      <c r="H52" s="34">
        <v>5</v>
      </c>
      <c r="I52" s="34">
        <v>5</v>
      </c>
      <c r="J52" s="38">
        <f t="shared" ref="J52:J61" si="3">I52-H52</f>
        <v>0</v>
      </c>
      <c r="K52" s="39">
        <f>'Oct 01'!$F52*'Oct 01'!$I52</f>
        <v>215824</v>
      </c>
      <c r="L52" s="40">
        <f>'Oct 01'!$K52/$K$2</f>
        <v>1.431960944692331E-3</v>
      </c>
      <c r="M52" s="41"/>
    </row>
    <row r="53" spans="1:16" s="43" customFormat="1" ht="25.5" x14ac:dyDescent="0.25">
      <c r="A53" s="34" t="s">
        <v>191</v>
      </c>
      <c r="B53" s="34" t="s">
        <v>193</v>
      </c>
      <c r="C53" s="34" t="s">
        <v>74</v>
      </c>
      <c r="D53" s="35">
        <v>1.482E-3</v>
      </c>
      <c r="E53" s="36">
        <f>'Oct 01'!$D53*$C$6*$C$2</f>
        <v>223008.25407108301</v>
      </c>
      <c r="F53" s="36">
        <v>166827</v>
      </c>
      <c r="G53" s="72">
        <f>'Oct 01'!$E53/'Oct 01'!$F53</f>
        <v>1.3367635578838137</v>
      </c>
      <c r="H53" s="34">
        <v>1</v>
      </c>
      <c r="I53" s="34">
        <v>1</v>
      </c>
      <c r="J53" s="38">
        <f t="shared" si="3"/>
        <v>0</v>
      </c>
      <c r="K53" s="39">
        <f>'Oct 01'!$F53*'Oct 01'!$I53</f>
        <v>166827</v>
      </c>
      <c r="L53" s="40">
        <f>'Oct 01'!$K53/$K$2</f>
        <v>1.1068729544452308E-3</v>
      </c>
      <c r="M53" s="41"/>
      <c r="P53" s="43" t="s">
        <v>194</v>
      </c>
    </row>
    <row r="54" spans="1:16" s="43" customFormat="1" ht="25.5" x14ac:dyDescent="0.25">
      <c r="A54" s="34" t="s">
        <v>191</v>
      </c>
      <c r="B54" s="34" t="s">
        <v>195</v>
      </c>
      <c r="C54" s="34" t="s">
        <v>93</v>
      </c>
      <c r="D54" s="35">
        <v>1.482E-3</v>
      </c>
      <c r="E54" s="36">
        <f>'Oct 01'!$D54*$C$6*$C$2</f>
        <v>223008.25407108301</v>
      </c>
      <c r="F54" s="36">
        <v>86839.5</v>
      </c>
      <c r="G54" s="72">
        <f>'Oct 01'!$E54/'Oct 01'!$F54</f>
        <v>2.568050876284214</v>
      </c>
      <c r="H54" s="34">
        <v>2</v>
      </c>
      <c r="I54" s="34">
        <v>3</v>
      </c>
      <c r="J54" s="38">
        <f t="shared" si="3"/>
        <v>1</v>
      </c>
      <c r="K54" s="39">
        <f>'Oct 01'!$F54*'Oct 01'!$I54</f>
        <v>260518.5</v>
      </c>
      <c r="L54" s="40">
        <f>'Oct 01'!$K54/$K$2</f>
        <v>1.7285024713184309E-3</v>
      </c>
      <c r="M54" s="41"/>
    </row>
    <row r="55" spans="1:16" s="43" customFormat="1" ht="25.5" x14ac:dyDescent="0.25">
      <c r="A55" s="34" t="s">
        <v>191</v>
      </c>
      <c r="B55" s="34" t="s">
        <v>94</v>
      </c>
      <c r="C55" s="34" t="s">
        <v>95</v>
      </c>
      <c r="D55" s="35">
        <v>1.482E-3</v>
      </c>
      <c r="E55" s="36">
        <f>'Oct 01'!$D55*$C$6*$C$2</f>
        <v>223008.25407108301</v>
      </c>
      <c r="F55" s="36">
        <v>232487</v>
      </c>
      <c r="G55" s="72">
        <f>'Oct 01'!$E55/'Oct 01'!$F55</f>
        <v>0.95922892063247844</v>
      </c>
      <c r="H55" s="34">
        <v>1</v>
      </c>
      <c r="I55" s="34">
        <v>1</v>
      </c>
      <c r="J55" s="38">
        <f t="shared" si="3"/>
        <v>0</v>
      </c>
      <c r="K55" s="39">
        <f>'Oct 01'!$F55*'Oct 01'!$I55</f>
        <v>232487</v>
      </c>
      <c r="L55" s="40">
        <f>'Oct 01'!$K55/$K$2</f>
        <v>1.5425175334934295E-3</v>
      </c>
      <c r="M55" s="41"/>
    </row>
    <row r="56" spans="1:16" s="43" customFormat="1" ht="25.5" x14ac:dyDescent="0.25">
      <c r="A56" s="34" t="s">
        <v>191</v>
      </c>
      <c r="B56" s="34" t="s">
        <v>196</v>
      </c>
      <c r="C56" s="34" t="s">
        <v>197</v>
      </c>
      <c r="D56" s="35">
        <v>1.482E-3</v>
      </c>
      <c r="E56" s="36">
        <f>'Oct 01'!$D56*$C$6*$C$2</f>
        <v>223008.25407108301</v>
      </c>
      <c r="F56" s="36">
        <v>45416.5</v>
      </c>
      <c r="G56" s="72">
        <f>'Oct 01'!$E56/'Oct 01'!$F56</f>
        <v>4.9102915035522994</v>
      </c>
      <c r="H56" s="34">
        <v>4</v>
      </c>
      <c r="I56" s="34">
        <v>5</v>
      </c>
      <c r="J56" s="38">
        <f t="shared" si="3"/>
        <v>1</v>
      </c>
      <c r="K56" s="39">
        <f>'Oct 01'!$F56*'Oct 01'!$I56</f>
        <v>227082.5</v>
      </c>
      <c r="L56" s="40">
        <f>'Oct 01'!$K56/$K$2</f>
        <v>1.5066594596666555E-3</v>
      </c>
      <c r="M56" s="41"/>
    </row>
    <row r="57" spans="1:16" s="43" customFormat="1" ht="25.5" x14ac:dyDescent="0.25">
      <c r="A57" s="34" t="s">
        <v>191</v>
      </c>
      <c r="B57" s="34" t="s">
        <v>198</v>
      </c>
      <c r="C57" s="34" t="s">
        <v>199</v>
      </c>
      <c r="D57" s="35">
        <v>1.482E-3</v>
      </c>
      <c r="E57" s="36">
        <f>'Oct 01'!$D57*$C$6*$C$2</f>
        <v>223008.25407108301</v>
      </c>
      <c r="F57" s="36">
        <v>45431.6</v>
      </c>
      <c r="G57" s="72">
        <f>'Oct 01'!$E57/'Oct 01'!$F57</f>
        <v>4.908659480869769</v>
      </c>
      <c r="H57" s="34">
        <v>5</v>
      </c>
      <c r="I57" s="34">
        <v>5</v>
      </c>
      <c r="J57" s="38">
        <f t="shared" si="3"/>
        <v>0</v>
      </c>
      <c r="K57" s="39">
        <f>'Oct 01'!$F57*'Oct 01'!$I57</f>
        <v>227158</v>
      </c>
      <c r="L57" s="40">
        <f>'Oct 01'!$K57/$K$2</f>
        <v>1.5071603912188659E-3</v>
      </c>
      <c r="M57" s="41"/>
    </row>
    <row r="58" spans="1:16" s="43" customFormat="1" ht="25.5" x14ac:dyDescent="0.25">
      <c r="A58" s="34" t="s">
        <v>191</v>
      </c>
      <c r="B58" s="34" t="s">
        <v>200</v>
      </c>
      <c r="C58" s="34" t="s">
        <v>99</v>
      </c>
      <c r="D58" s="35">
        <v>1.482E-3</v>
      </c>
      <c r="E58" s="36">
        <f>'Oct 01'!$D58*$C$6*$C$2</f>
        <v>223008.25407108301</v>
      </c>
      <c r="F58" s="36">
        <v>12140.294117647099</v>
      </c>
      <c r="G58" s="72">
        <f>'Oct 01'!$E58/'Oct 01'!$F58</f>
        <v>18.369262878641365</v>
      </c>
      <c r="H58" s="34">
        <v>17</v>
      </c>
      <c r="I58" s="34">
        <v>18</v>
      </c>
      <c r="J58" s="38">
        <f t="shared" si="3"/>
        <v>1</v>
      </c>
      <c r="K58" s="39">
        <f>'Oct 01'!$F58*'Oct 01'!$I58</f>
        <v>218525.29411764781</v>
      </c>
      <c r="L58" s="40">
        <f>'Oct 01'!$K58/$K$2</f>
        <v>1.4498836394649178E-3</v>
      </c>
      <c r="M58" s="41"/>
    </row>
    <row r="59" spans="1:16" s="43" customFormat="1" ht="25.5" x14ac:dyDescent="0.25">
      <c r="A59" s="34" t="s">
        <v>191</v>
      </c>
      <c r="B59" s="34" t="s">
        <v>201</v>
      </c>
      <c r="C59" s="34" t="s">
        <v>102</v>
      </c>
      <c r="D59" s="35">
        <v>1.482E-3</v>
      </c>
      <c r="E59" s="36">
        <f>'Oct 01'!$D59*$C$6*$C$2</f>
        <v>223008.25407108301</v>
      </c>
      <c r="F59" s="36">
        <v>87165</v>
      </c>
      <c r="G59" s="72">
        <f>'Oct 01'!$E59/'Oct 01'!$F59</f>
        <v>2.5584610115422821</v>
      </c>
      <c r="H59" s="34">
        <v>2</v>
      </c>
      <c r="I59" s="34">
        <v>3</v>
      </c>
      <c r="J59" s="38">
        <f t="shared" si="3"/>
        <v>1</v>
      </c>
      <c r="K59" s="39">
        <f>'Oct 01'!$F59*'Oct 01'!$I59</f>
        <v>261495</v>
      </c>
      <c r="L59" s="40">
        <f>'Oct 01'!$K59/$K$2</f>
        <v>1.7349814072221861E-3</v>
      </c>
      <c r="M59" s="41"/>
    </row>
    <row r="60" spans="1:16" s="2" customFormat="1" ht="25.5" x14ac:dyDescent="0.2">
      <c r="A60" s="34" t="s">
        <v>191</v>
      </c>
      <c r="B60" s="61" t="s">
        <v>202</v>
      </c>
      <c r="C60" s="61" t="s">
        <v>133</v>
      </c>
      <c r="D60" s="35">
        <v>1.482E-3</v>
      </c>
      <c r="E60" s="36">
        <f>'Oct 01'!$D60*$C$6*$C$2</f>
        <v>223008.25407108301</v>
      </c>
      <c r="F60" s="36">
        <v>59557.333333333299</v>
      </c>
      <c r="G60" s="72">
        <f>'Oct 01'!$E60/'Oct 01'!$F60</f>
        <v>3.7444298055277234</v>
      </c>
      <c r="H60" s="34">
        <v>3</v>
      </c>
      <c r="I60" s="34">
        <v>4</v>
      </c>
      <c r="J60" s="38">
        <f t="shared" si="3"/>
        <v>1</v>
      </c>
      <c r="K60" s="39">
        <f>'Oct 01'!$F60*'Oct 01'!$I60</f>
        <v>238229.3333333332</v>
      </c>
      <c r="L60" s="40">
        <f>'Oct 01'!$K60/$K$2</f>
        <v>1.5806170824997406E-3</v>
      </c>
      <c r="M60" s="62"/>
    </row>
    <row r="61" spans="1:16" s="43" customFormat="1" ht="25.5" x14ac:dyDescent="0.25">
      <c r="A61" s="34" t="s">
        <v>191</v>
      </c>
      <c r="B61" s="34" t="s">
        <v>203</v>
      </c>
      <c r="C61" s="34" t="s">
        <v>204</v>
      </c>
      <c r="D61" s="35">
        <v>1.482E-3</v>
      </c>
      <c r="E61" s="36">
        <f>'Oct 01'!$D61*$C$6*$C$2</f>
        <v>223008.25407108301</v>
      </c>
      <c r="F61" s="36">
        <v>118642</v>
      </c>
      <c r="G61" s="72">
        <f>'Oct 01'!$E61/'Oct 01'!$F61</f>
        <v>1.8796737586274928</v>
      </c>
      <c r="H61" s="34">
        <v>2</v>
      </c>
      <c r="I61" s="34">
        <v>2</v>
      </c>
      <c r="J61" s="38">
        <f t="shared" si="3"/>
        <v>0</v>
      </c>
      <c r="K61" s="39">
        <f>'Oct 01'!$F61*'Oct 01'!$I61</f>
        <v>237284</v>
      </c>
      <c r="L61" s="40">
        <f>'Oct 01'!$K61/$K$2</f>
        <v>1.5743449329100334E-3</v>
      </c>
      <c r="M61" s="41"/>
    </row>
    <row r="62" spans="1:16" s="43" customFormat="1" ht="12.75" x14ac:dyDescent="0.25">
      <c r="A62" s="34"/>
      <c r="B62" s="34"/>
      <c r="C62" s="34"/>
      <c r="D62" s="35"/>
      <c r="E62" s="36"/>
      <c r="F62" s="36"/>
      <c r="G62" s="37"/>
      <c r="H62" s="34"/>
      <c r="I62" s="34"/>
      <c r="J62" s="41"/>
      <c r="K62" s="39"/>
      <c r="L62" s="40"/>
      <c r="M62" s="41"/>
    </row>
    <row r="63" spans="1:16" s="43" customFormat="1" ht="12.75" x14ac:dyDescent="0.25">
      <c r="A63" s="34"/>
      <c r="B63" s="34"/>
      <c r="C63" s="34"/>
      <c r="D63" s="35"/>
      <c r="E63" s="36"/>
      <c r="F63" s="36"/>
      <c r="G63" s="37"/>
      <c r="H63" s="34"/>
      <c r="I63" s="34"/>
      <c r="J63" s="41"/>
      <c r="K63" s="39"/>
      <c r="L63" s="40"/>
      <c r="M63" s="41"/>
    </row>
    <row r="64" spans="1:16" s="43" customFormat="1" ht="12.75" x14ac:dyDescent="0.25">
      <c r="A64" s="34"/>
      <c r="B64" s="34"/>
      <c r="C64" s="34"/>
      <c r="D64" s="35"/>
      <c r="E64" s="36"/>
      <c r="F64" s="36"/>
      <c r="G64" s="37"/>
      <c r="H64" s="34"/>
      <c r="I64" s="34"/>
      <c r="J64" s="41"/>
      <c r="K64" s="39"/>
      <c r="L64" s="40"/>
      <c r="M64" s="41"/>
    </row>
    <row r="65" spans="1:13" s="43" customFormat="1" ht="12.75" x14ac:dyDescent="0.25">
      <c r="A65" s="34"/>
      <c r="B65" s="34"/>
      <c r="C65" s="34"/>
      <c r="D65" s="35"/>
      <c r="E65" s="36"/>
      <c r="F65" s="36"/>
      <c r="G65" s="37"/>
      <c r="H65" s="34"/>
      <c r="I65" s="34"/>
      <c r="J65" s="41"/>
      <c r="K65" s="39"/>
      <c r="L65" s="40"/>
      <c r="M65" s="41"/>
    </row>
    <row r="66" spans="1:13" s="43" customFormat="1" ht="12.75" x14ac:dyDescent="0.25">
      <c r="A66" s="34"/>
      <c r="B66" s="34"/>
      <c r="C66" s="34"/>
      <c r="D66" s="35"/>
      <c r="E66" s="36"/>
      <c r="F66" s="36"/>
      <c r="G66" s="37"/>
      <c r="H66" s="34"/>
      <c r="I66" s="34"/>
      <c r="J66" s="41"/>
      <c r="K66" s="39"/>
      <c r="L66" s="40"/>
      <c r="M66" s="41"/>
    </row>
    <row r="67" spans="1:13" s="43" customFormat="1" ht="12.75" x14ac:dyDescent="0.25">
      <c r="A67" s="34"/>
      <c r="B67" s="34"/>
      <c r="C67" s="34"/>
      <c r="D67" s="35"/>
      <c r="E67" s="36"/>
      <c r="F67" s="36"/>
      <c r="G67" s="37"/>
      <c r="H67" s="34"/>
      <c r="I67" s="34"/>
      <c r="J67" s="41"/>
      <c r="K67" s="39"/>
      <c r="L67" s="40"/>
      <c r="M67" s="41"/>
    </row>
    <row r="68" spans="1:13" s="43" customFormat="1" ht="12.75" x14ac:dyDescent="0.25">
      <c r="A68" s="34"/>
      <c r="B68" s="34"/>
      <c r="C68" s="34"/>
      <c r="D68" s="35"/>
      <c r="E68" s="36"/>
      <c r="F68" s="36"/>
      <c r="G68" s="37"/>
      <c r="H68" s="34"/>
      <c r="I68" s="34"/>
      <c r="J68" s="41"/>
      <c r="K68" s="39"/>
      <c r="L68" s="40"/>
      <c r="M68" s="41"/>
    </row>
    <row r="69" spans="1:13" s="15" customFormat="1" ht="12.75" x14ac:dyDescent="0.2">
      <c r="A69" s="47" t="s">
        <v>205</v>
      </c>
      <c r="B69" s="65"/>
      <c r="C69" s="65"/>
      <c r="D69" s="73">
        <f>SUM(D52:D68)</f>
        <v>1.4820000000000003E-2</v>
      </c>
      <c r="E69" s="49">
        <f>SUM(E51:E68)</f>
        <v>2230082.5407108297</v>
      </c>
      <c r="F69" s="68"/>
      <c r="G69" s="68"/>
      <c r="H69" s="65"/>
      <c r="I69" s="65"/>
      <c r="J69" s="47"/>
      <c r="K69" s="49">
        <f>SUM(K51:K68)</f>
        <v>2285430.6274509812</v>
      </c>
      <c r="L69" s="52">
        <f>'Oct 01'!$K69/$K$2</f>
        <v>1.5163500816931822E-2</v>
      </c>
      <c r="M69" s="59"/>
    </row>
    <row r="70" spans="1:13" s="2" customFormat="1" ht="12.75" x14ac:dyDescent="0.2">
      <c r="A70" s="34"/>
      <c r="B70" s="61"/>
      <c r="C70" s="61"/>
      <c r="D70" s="74"/>
      <c r="E70" s="36"/>
      <c r="F70" s="36"/>
      <c r="G70" s="37"/>
      <c r="H70" s="61"/>
      <c r="I70" s="61"/>
      <c r="J70" s="34"/>
      <c r="K70" s="34"/>
      <c r="L70" s="40"/>
      <c r="M70" s="62"/>
    </row>
    <row r="71" spans="1:13" s="43" customFormat="1" ht="25.5" x14ac:dyDescent="0.25">
      <c r="A71" s="47" t="s">
        <v>206</v>
      </c>
      <c r="B71" s="54" t="s">
        <v>207</v>
      </c>
      <c r="C71" s="54" t="s">
        <v>119</v>
      </c>
      <c r="D71" s="55">
        <v>5.9160000000000003E-3</v>
      </c>
      <c r="E71" s="56">
        <f>'Oct 01'!$D71*$C$6*$C$2</f>
        <v>890227.28143355402</v>
      </c>
      <c r="F71" s="56">
        <v>29739.391304347799</v>
      </c>
      <c r="G71" s="57">
        <f>'Oct 01'!$E71/'Oct 01'!$F71</f>
        <v>29.934280507732041</v>
      </c>
      <c r="H71" s="54">
        <v>23</v>
      </c>
      <c r="I71" s="54">
        <v>30</v>
      </c>
      <c r="J71" s="75">
        <f>I71-H71</f>
        <v>7</v>
      </c>
      <c r="K71" s="56">
        <f>'Oct 01'!$F71*'Oct 01'!$I71</f>
        <v>892181.739130434</v>
      </c>
      <c r="L71" s="76">
        <f>'Oct 01'!$K71/$K$2</f>
        <v>5.9194964693568049E-3</v>
      </c>
      <c r="M71" s="54"/>
    </row>
    <row r="72" spans="1:13" s="2" customFormat="1" ht="12.75" x14ac:dyDescent="0.2">
      <c r="A72" s="34"/>
      <c r="B72" s="61"/>
      <c r="C72" s="61"/>
      <c r="D72" s="74"/>
      <c r="E72" s="36"/>
      <c r="F72" s="36"/>
      <c r="G72" s="37"/>
      <c r="H72" s="61"/>
      <c r="I72" s="61"/>
      <c r="J72" s="34"/>
      <c r="K72" s="34"/>
      <c r="L72" s="40"/>
      <c r="M72" s="62"/>
    </row>
    <row r="73" spans="1:13" s="2" customFormat="1" ht="12.75" x14ac:dyDescent="0.2">
      <c r="A73" s="34"/>
      <c r="B73" s="61"/>
      <c r="C73" s="61"/>
      <c r="D73" s="77"/>
      <c r="E73" s="63"/>
      <c r="F73" s="36"/>
      <c r="G73" s="37"/>
      <c r="H73" s="61"/>
      <c r="I73" s="61"/>
      <c r="J73" s="34"/>
      <c r="K73" s="34"/>
      <c r="L73" s="40"/>
      <c r="M73" s="62"/>
    </row>
    <row r="74" spans="1:13" s="15" customFormat="1" ht="12.75" x14ac:dyDescent="0.2">
      <c r="A74" s="47" t="s">
        <v>208</v>
      </c>
      <c r="B74" s="65"/>
      <c r="C74" s="65"/>
      <c r="D74" s="65"/>
      <c r="E74" s="78"/>
      <c r="F74" s="78"/>
      <c r="G74" s="47"/>
      <c r="H74" s="65"/>
      <c r="I74" s="65"/>
      <c r="J74" s="65"/>
      <c r="K74" s="78">
        <f>SUM(K24,K26,K39,K49,K69,K71)</f>
        <v>150719194.4025901</v>
      </c>
      <c r="L74" s="52">
        <f>'Oct 01'!$K74/$K$2</f>
        <v>1</v>
      </c>
      <c r="M74" s="65"/>
    </row>
    <row r="75" spans="1:13" s="2" customFormat="1" ht="12.75" x14ac:dyDescent="0.2">
      <c r="A75" s="62"/>
      <c r="B75" s="62"/>
      <c r="C75" s="62"/>
      <c r="D75" s="79"/>
      <c r="E75" s="80"/>
      <c r="F75" s="36"/>
      <c r="G75" s="81"/>
      <c r="H75" s="62"/>
      <c r="I75" s="62"/>
      <c r="J75" s="62"/>
      <c r="K75" s="62"/>
      <c r="L75" s="40"/>
      <c r="M75" s="62"/>
    </row>
    <row r="76" spans="1:13" s="2" customFormat="1" ht="12.75" x14ac:dyDescent="0.2">
      <c r="A76" s="62"/>
      <c r="B76" s="62"/>
      <c r="C76" s="62"/>
      <c r="D76" s="79"/>
      <c r="E76" s="80"/>
      <c r="F76" s="36"/>
      <c r="G76" s="81"/>
      <c r="H76" s="62"/>
      <c r="I76" s="62"/>
      <c r="J76" s="62"/>
      <c r="K76" s="62"/>
      <c r="L76" s="40"/>
      <c r="M76" s="62"/>
    </row>
    <row r="77" spans="1:13" s="2" customFormat="1" ht="12.75" x14ac:dyDescent="0.2">
      <c r="A77" s="62"/>
      <c r="B77" s="62"/>
      <c r="C77" s="62"/>
      <c r="D77" s="79"/>
      <c r="E77" s="80"/>
      <c r="F77" s="36"/>
      <c r="G77" s="81"/>
      <c r="H77" s="62"/>
      <c r="I77" s="62"/>
      <c r="J77" s="62"/>
      <c r="K77" s="62"/>
      <c r="L77" s="40"/>
      <c r="M77" s="62"/>
    </row>
    <row r="78" spans="1:13" s="2" customFormat="1" ht="12.75" x14ac:dyDescent="0.2">
      <c r="A78" s="62"/>
      <c r="B78" s="62"/>
      <c r="C78" s="62"/>
      <c r="D78" s="79"/>
      <c r="E78" s="80"/>
      <c r="F78" s="36"/>
      <c r="G78" s="81"/>
      <c r="H78" s="62"/>
      <c r="I78" s="62"/>
      <c r="J78" s="62"/>
      <c r="K78" s="62"/>
      <c r="L78" s="40"/>
      <c r="M78" s="62"/>
    </row>
    <row r="79" spans="1:13" s="2" customFormat="1" ht="12.75" x14ac:dyDescent="0.2">
      <c r="A79" s="62"/>
      <c r="B79" s="62"/>
      <c r="C79" s="62"/>
      <c r="D79" s="79"/>
      <c r="E79" s="80"/>
      <c r="F79" s="36"/>
      <c r="G79" s="81"/>
      <c r="H79" s="62"/>
      <c r="I79" s="62"/>
      <c r="J79" s="62"/>
      <c r="K79" s="62"/>
      <c r="L79" s="40"/>
      <c r="M79" s="62"/>
    </row>
    <row r="80" spans="1:13" s="2" customFormat="1" ht="12.75" x14ac:dyDescent="0.2">
      <c r="A80" s="62"/>
      <c r="B80" s="62"/>
      <c r="C80" s="62"/>
      <c r="D80" s="79"/>
      <c r="E80" s="80"/>
      <c r="F80" s="36"/>
      <c r="G80" s="81"/>
      <c r="H80" s="62"/>
      <c r="I80" s="62"/>
      <c r="J80" s="62"/>
      <c r="K80" s="62"/>
      <c r="L80" s="40"/>
      <c r="M80" s="62"/>
    </row>
    <row r="81" spans="1:13" s="2" customFormat="1" ht="12.75" x14ac:dyDescent="0.2">
      <c r="A81" s="62"/>
      <c r="B81" s="62"/>
      <c r="C81" s="62"/>
      <c r="D81" s="79"/>
      <c r="E81" s="80"/>
      <c r="F81" s="36"/>
      <c r="G81" s="81"/>
      <c r="H81" s="62"/>
      <c r="I81" s="62"/>
      <c r="J81" s="62"/>
      <c r="K81" s="62"/>
      <c r="L81" s="40"/>
      <c r="M81" s="62"/>
    </row>
    <row r="82" spans="1:13" s="2" customFormat="1" ht="12.75" x14ac:dyDescent="0.2">
      <c r="A82" s="62"/>
      <c r="B82" s="62"/>
      <c r="C82" s="62"/>
      <c r="D82" s="79"/>
      <c r="E82" s="80"/>
      <c r="F82" s="36"/>
      <c r="G82" s="81"/>
      <c r="H82" s="62"/>
      <c r="I82" s="62"/>
      <c r="J82" s="62"/>
      <c r="K82" s="62"/>
      <c r="L82" s="40"/>
      <c r="M82" s="62"/>
    </row>
    <row r="83" spans="1:13" s="2" customFormat="1" ht="12.75" x14ac:dyDescent="0.2">
      <c r="A83" s="62"/>
      <c r="B83" s="62"/>
      <c r="C83" s="62"/>
      <c r="D83" s="79"/>
      <c r="E83" s="80"/>
      <c r="F83" s="36"/>
      <c r="G83" s="81"/>
      <c r="H83" s="62"/>
      <c r="I83" s="62"/>
      <c r="J83" s="62"/>
      <c r="K83" s="62"/>
      <c r="L83" s="40"/>
      <c r="M83" s="62"/>
    </row>
    <row r="84" spans="1:13" s="2" customFormat="1" ht="12.75" x14ac:dyDescent="0.2"/>
    <row r="85" spans="1:13" s="2" customFormat="1" ht="12.75" x14ac:dyDescent="0.2"/>
    <row r="87" spans="1:13" s="2" customFormat="1" ht="12.75" x14ac:dyDescent="0.2">
      <c r="A87" s="82"/>
      <c r="B87" s="82"/>
      <c r="E87" s="82"/>
      <c r="F87" s="82"/>
      <c r="G87" s="82"/>
      <c r="H87" s="83"/>
      <c r="M87" s="82"/>
    </row>
    <row r="88" spans="1:13" s="2" customFormat="1" ht="12.75" x14ac:dyDescent="0.2">
      <c r="A88" s="82"/>
      <c r="B88" s="82"/>
      <c r="E88" s="82"/>
      <c r="F88" s="82"/>
      <c r="G88" s="82"/>
      <c r="H88" s="83"/>
      <c r="M88" s="82"/>
    </row>
    <row r="89" spans="1:13" s="2" customFormat="1" ht="12.75" x14ac:dyDescent="0.2">
      <c r="A89" s="84"/>
      <c r="B89" s="84"/>
    </row>
    <row r="90" spans="1:13" s="2" customFormat="1" ht="12.75" x14ac:dyDescent="0.2">
      <c r="A90" s="85"/>
      <c r="B90" s="85"/>
      <c r="E90" s="85"/>
      <c r="F90" s="84"/>
      <c r="G90" s="84"/>
      <c r="M90" s="86"/>
    </row>
    <row r="91" spans="1:13" x14ac:dyDescent="0.25">
      <c r="K91" s="2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MH89"/>
  <sheetViews>
    <sheetView zoomScale="125" zoomScaleNormal="125" workbookViewId="0">
      <pane xSplit="2" topLeftCell="C1" activePane="topRight" state="frozen"/>
      <selection pane="topRight" activeCell="F48" sqref="F48"/>
    </sheetView>
  </sheetViews>
  <sheetFormatPr defaultColWidth="9.140625" defaultRowHeight="15" x14ac:dyDescent="0.25"/>
  <cols>
    <col min="1" max="2" width="15.140625" style="2" customWidth="1"/>
    <col min="3" max="3" width="29.28515625" style="2" customWidth="1"/>
    <col min="4" max="4" width="14.85546875" style="2" customWidth="1"/>
    <col min="5" max="5" width="27.42578125" style="2" customWidth="1"/>
    <col min="6" max="7" width="13.7109375" style="2" customWidth="1"/>
    <col min="8" max="8" width="16.5703125" style="2" customWidth="1"/>
    <col min="9" max="9" width="15.5703125" style="2" customWidth="1"/>
    <col min="10" max="10" width="13.42578125" customWidth="1"/>
    <col min="11" max="11" width="23.5703125" customWidth="1"/>
    <col min="12" max="12" width="13.42578125" customWidth="1"/>
    <col min="13" max="13" width="22.5703125" style="2" customWidth="1"/>
    <col min="14" max="16" width="10.85546875" style="2" customWidth="1"/>
    <col min="17" max="17" width="11.28515625" style="2" customWidth="1"/>
    <col min="18" max="1022" width="9.140625" style="2"/>
  </cols>
  <sheetData>
    <row r="1" spans="1:17" s="2" customFormat="1" ht="25.5" x14ac:dyDescent="0.2">
      <c r="A1" s="3"/>
      <c r="B1" s="3" t="s">
        <v>138</v>
      </c>
      <c r="C1" s="4">
        <v>44131</v>
      </c>
      <c r="D1" s="5"/>
      <c r="E1" s="6" t="s">
        <v>139</v>
      </c>
      <c r="F1" s="7"/>
      <c r="G1" s="8"/>
      <c r="K1" s="9" t="s">
        <v>140</v>
      </c>
      <c r="L1" s="9" t="s">
        <v>141</v>
      </c>
      <c r="M1" s="10" t="s">
        <v>142</v>
      </c>
    </row>
    <row r="2" spans="1:17" x14ac:dyDescent="0.25">
      <c r="A2" s="3"/>
      <c r="B2" s="3" t="s">
        <v>143</v>
      </c>
      <c r="C2" s="11">
        <v>7.07</v>
      </c>
      <c r="D2" s="12"/>
      <c r="E2" s="13">
        <f>SUM(E26,E41,E51,E67,E28,E69)</f>
        <v>133642279.20214556</v>
      </c>
      <c r="F2" s="14"/>
      <c r="G2" s="15"/>
      <c r="H2" s="12"/>
      <c r="I2" s="12"/>
      <c r="J2" s="12"/>
      <c r="K2" s="13">
        <f>SUM(K26,K41,K51,K67,K28,K69:K69)</f>
        <v>160702263.73258582</v>
      </c>
      <c r="L2" s="16">
        <f>SUM(L51,L67,L41,L26,L28,L69)</f>
        <v>1</v>
      </c>
      <c r="M2" s="17">
        <f>K2/$C$6</f>
        <v>8.5015471715791104</v>
      </c>
      <c r="N2" s="18"/>
    </row>
    <row r="3" spans="1:17" ht="26.25" x14ac:dyDescent="0.25">
      <c r="A3" s="3"/>
      <c r="B3" s="3" t="s">
        <v>144</v>
      </c>
      <c r="C3" s="19">
        <v>18902708</v>
      </c>
      <c r="D3" s="20"/>
      <c r="E3" s="6" t="s">
        <v>145</v>
      </c>
      <c r="F3" s="14"/>
      <c r="G3" s="15"/>
      <c r="H3" s="12"/>
      <c r="I3" s="12"/>
      <c r="J3" s="12"/>
      <c r="K3" s="6" t="s">
        <v>145</v>
      </c>
      <c r="L3" s="12"/>
      <c r="M3" s="10" t="s">
        <v>146</v>
      </c>
      <c r="N3" s="21"/>
    </row>
    <row r="4" spans="1:17" x14ac:dyDescent="0.25">
      <c r="A4" s="3"/>
      <c r="B4" s="3" t="s">
        <v>147</v>
      </c>
      <c r="C4" s="19">
        <v>0</v>
      </c>
      <c r="D4" s="20"/>
      <c r="E4" s="13">
        <f>SUM(E26,E67,E28)</f>
        <v>26436287.381805841</v>
      </c>
      <c r="F4" s="14"/>
      <c r="G4" s="15"/>
      <c r="H4" s="12"/>
      <c r="I4" s="12"/>
      <c r="J4" s="12"/>
      <c r="K4" s="13">
        <f>SUM(K26,K28,K67)</f>
        <v>26683160.446270969</v>
      </c>
      <c r="L4" s="12"/>
      <c r="M4" s="17">
        <f>K4/$C$6</f>
        <v>1.4116051756325585</v>
      </c>
      <c r="N4" s="21"/>
    </row>
    <row r="5" spans="1:17" x14ac:dyDescent="0.25">
      <c r="A5" s="3"/>
      <c r="B5" s="3" t="s">
        <v>148</v>
      </c>
      <c r="C5" s="19">
        <v>0</v>
      </c>
      <c r="D5" s="20"/>
      <c r="E5" s="14"/>
      <c r="F5" s="14"/>
      <c r="G5" s="22">
        <f>SUM(D26,D28,D41,D51,D67,D69:D69)</f>
        <v>1.0000010000000001</v>
      </c>
      <c r="H5" s="12"/>
      <c r="I5" s="12"/>
      <c r="J5" s="12"/>
      <c r="K5" s="12"/>
      <c r="L5" s="12"/>
      <c r="M5" s="12"/>
      <c r="N5" s="21"/>
    </row>
    <row r="6" spans="1:17" x14ac:dyDescent="0.25">
      <c r="A6" s="3"/>
      <c r="B6" s="3" t="s">
        <v>149</v>
      </c>
      <c r="C6" s="19">
        <f>C3+C4-C5</f>
        <v>18902708</v>
      </c>
      <c r="D6" s="20"/>
      <c r="E6" s="14"/>
      <c r="F6" s="14"/>
      <c r="G6" s="15"/>
      <c r="H6" s="12"/>
      <c r="I6" s="12"/>
      <c r="J6" s="12"/>
      <c r="K6" s="12"/>
      <c r="L6" s="12"/>
      <c r="M6" s="12"/>
      <c r="N6" s="21"/>
    </row>
    <row r="7" spans="1:17" x14ac:dyDescent="0.25">
      <c r="A7" s="23"/>
      <c r="B7" s="24"/>
      <c r="C7" s="24"/>
      <c r="D7" s="25"/>
      <c r="E7" s="26"/>
      <c r="F7" s="26"/>
      <c r="G7" s="26"/>
      <c r="H7" s="27"/>
      <c r="I7" s="27"/>
      <c r="J7" s="27"/>
      <c r="K7" s="12"/>
      <c r="L7" s="12"/>
      <c r="M7" s="12"/>
      <c r="N7" s="21"/>
    </row>
    <row r="8" spans="1:17" s="32" customFormat="1" ht="38.25" x14ac:dyDescent="0.2">
      <c r="A8" s="28" t="s">
        <v>150</v>
      </c>
      <c r="B8" s="28" t="s">
        <v>151</v>
      </c>
      <c r="C8" s="29" t="s">
        <v>1</v>
      </c>
      <c r="D8" s="29" t="s">
        <v>152</v>
      </c>
      <c r="E8" s="29" t="s">
        <v>153</v>
      </c>
      <c r="F8" s="29" t="s">
        <v>154</v>
      </c>
      <c r="G8" s="29" t="s">
        <v>155</v>
      </c>
      <c r="H8" s="29" t="s">
        <v>156</v>
      </c>
      <c r="I8" s="29" t="s">
        <v>157</v>
      </c>
      <c r="J8" s="29" t="s">
        <v>158</v>
      </c>
      <c r="K8" s="30" t="s">
        <v>159</v>
      </c>
      <c r="L8" s="30" t="s">
        <v>160</v>
      </c>
      <c r="M8" s="30" t="s">
        <v>161</v>
      </c>
      <c r="N8" s="31"/>
      <c r="Q8" s="33"/>
    </row>
    <row r="9" spans="1:17" s="43" customFormat="1" ht="12.75" x14ac:dyDescent="0.25">
      <c r="A9" s="34" t="s">
        <v>162</v>
      </c>
      <c r="B9" s="34" t="s">
        <v>46</v>
      </c>
      <c r="C9" s="34" t="s">
        <v>47</v>
      </c>
      <c r="D9" s="35">
        <v>1.2933999999999999E-2</v>
      </c>
      <c r="E9" s="36">
        <f>'Oct 27'!$D9*$C$6*$C$2</f>
        <v>1728527.5106730398</v>
      </c>
      <c r="F9" s="36">
        <v>525.64997202014604</v>
      </c>
      <c r="G9" s="37">
        <f>'Oct 27'!$E9/'Oct 27'!$F9</f>
        <v>3288.3622233062583</v>
      </c>
      <c r="H9" s="34">
        <v>3574</v>
      </c>
      <c r="I9" s="34">
        <f>ROUND(Table13895845679910111213144562678910111213141516171819202134567891011121314151617181920[[#This Row],[Target Quantity]],0)</f>
        <v>3288</v>
      </c>
      <c r="J9" s="38">
        <f t="shared" ref="J9:J24" si="0">I9-H9</f>
        <v>-286</v>
      </c>
      <c r="K9" s="39">
        <f>'Oct 27'!$F9*'Oct 27'!$I9</f>
        <v>1728337.1080022401</v>
      </c>
      <c r="L9" s="40">
        <f>'Oct 27'!$K9/$K$2</f>
        <v>1.0754902064592278E-2</v>
      </c>
      <c r="M9" s="41"/>
      <c r="N9" s="42"/>
      <c r="O9" s="87"/>
    </row>
    <row r="10" spans="1:17" s="43" customFormat="1" ht="12.75" customHeight="1" x14ac:dyDescent="0.25">
      <c r="A10" s="34" t="s">
        <v>162</v>
      </c>
      <c r="B10" s="34" t="s">
        <v>55</v>
      </c>
      <c r="C10" s="34" t="s">
        <v>56</v>
      </c>
      <c r="D10" s="35">
        <v>1.2933999999999999E-2</v>
      </c>
      <c r="E10" s="36">
        <f>'Oct 27'!$D10*$C$6*$C$2</f>
        <v>1728527.5106730398</v>
      </c>
      <c r="F10" s="36">
        <v>417.5</v>
      </c>
      <c r="G10" s="37">
        <f>'Oct 27'!$E10/'Oct 27'!$F10</f>
        <v>4140.1856543066824</v>
      </c>
      <c r="H10" s="34">
        <v>4638</v>
      </c>
      <c r="I10" s="34">
        <f>ROUND(Table13895845679910111213144562678910111213141516171819202134567891011121314151617181920[[#This Row],[Target Quantity]],0)</f>
        <v>4140</v>
      </c>
      <c r="J10" s="38">
        <f t="shared" si="0"/>
        <v>-498</v>
      </c>
      <c r="K10" s="39">
        <f>'Oct 27'!$F10*'Oct 27'!$I10</f>
        <v>1728450</v>
      </c>
      <c r="L10" s="40">
        <f>'Oct 27'!$K10/$K$2</f>
        <v>1.0755604556238245E-2</v>
      </c>
      <c r="M10" s="41"/>
    </row>
    <row r="11" spans="1:17" s="43" customFormat="1" ht="12.75" customHeight="1" x14ac:dyDescent="0.25">
      <c r="A11" s="34" t="s">
        <v>162</v>
      </c>
      <c r="B11" s="34" t="s">
        <v>37</v>
      </c>
      <c r="C11" s="34" t="s">
        <v>38</v>
      </c>
      <c r="D11" s="35">
        <v>1.2933999999999999E-2</v>
      </c>
      <c r="E11" s="36">
        <f>'Oct 27'!$D11*$C$6*$C$2</f>
        <v>1728527.5106730398</v>
      </c>
      <c r="F11" s="36">
        <v>81.289982794074405</v>
      </c>
      <c r="G11" s="37">
        <f>'Oct 27'!$E11/'Oct 27'!$F11</f>
        <v>21263.720956268182</v>
      </c>
      <c r="H11" s="34">
        <v>23829</v>
      </c>
      <c r="I11" s="34">
        <f>ROUND(Table13895845679910111213144562678910111213141516171819202134567891011121314151617181920[[#This Row],[Target Quantity]],0)</f>
        <v>21264</v>
      </c>
      <c r="J11" s="38">
        <f t="shared" si="0"/>
        <v>-2565</v>
      </c>
      <c r="K11" s="39">
        <f>'Oct 27'!$F11*'Oct 27'!$I11</f>
        <v>1728550.1941331981</v>
      </c>
      <c r="L11" s="40">
        <f>'Oct 27'!$K11/$K$2</f>
        <v>1.0756228033038577E-2</v>
      </c>
      <c r="M11" s="41"/>
    </row>
    <row r="12" spans="1:17" s="44" customFormat="1" ht="12.75" customHeight="1" x14ac:dyDescent="0.25">
      <c r="A12" s="34" t="s">
        <v>162</v>
      </c>
      <c r="B12" s="34" t="s">
        <v>23</v>
      </c>
      <c r="C12" s="34" t="s">
        <v>24</v>
      </c>
      <c r="D12" s="35">
        <v>1.2933999999999999E-2</v>
      </c>
      <c r="E12" s="36">
        <f>'Oct 27'!$D12*$C$6*$C$2</f>
        <v>1728527.5106730398</v>
      </c>
      <c r="F12" s="36">
        <v>220.240054869685</v>
      </c>
      <c r="G12" s="37">
        <f>'Oct 27'!$E12/'Oct 27'!$F12</f>
        <v>7848.3794044448514</v>
      </c>
      <c r="H12" s="34">
        <v>8748</v>
      </c>
      <c r="I12" s="34">
        <f>ROUND(Table13895845679910111213144562678910111213141516171819202134567891011121314151617181920[[#This Row],[Target Quantity]],0)</f>
        <v>7848</v>
      </c>
      <c r="J12" s="38">
        <f t="shared" si="0"/>
        <v>-900</v>
      </c>
      <c r="K12" s="39">
        <f>'Oct 27'!$F12*'Oct 27'!$I12</f>
        <v>1728443.9506172878</v>
      </c>
      <c r="L12" s="40">
        <f>'Oct 27'!$K12/$K$2</f>
        <v>1.0755566912818844E-2</v>
      </c>
      <c r="M12" s="34"/>
    </row>
    <row r="13" spans="1:17" s="44" customFormat="1" ht="12.75" customHeight="1" x14ac:dyDescent="0.25">
      <c r="A13" s="34" t="s">
        <v>162</v>
      </c>
      <c r="B13" s="34" t="s">
        <v>60</v>
      </c>
      <c r="C13" s="34" t="s">
        <v>61</v>
      </c>
      <c r="D13" s="35">
        <v>1.2933999999999999E-2</v>
      </c>
      <c r="E13" s="36">
        <f>'Oct 27'!$D13*$C$6*$C$2</f>
        <v>1728527.5106730398</v>
      </c>
      <c r="F13" s="36">
        <v>518.19994696366996</v>
      </c>
      <c r="G13" s="37">
        <f>'Oct 27'!$E13/'Oct 27'!$F13</f>
        <v>3335.6381466288026</v>
      </c>
      <c r="H13" s="34">
        <v>3771</v>
      </c>
      <c r="I13" s="34">
        <f>ROUND(Table13895845679910111213144562678910111213141516171819202134567891011121314151617181920[[#This Row],[Target Quantity]],0)</f>
        <v>3336</v>
      </c>
      <c r="J13" s="38">
        <f t="shared" si="0"/>
        <v>-435</v>
      </c>
      <c r="K13" s="39">
        <f>'Oct 27'!$F13*'Oct 27'!$I13</f>
        <v>1728715.0230708029</v>
      </c>
      <c r="L13" s="40">
        <f>'Oct 27'!$K13/$K$2</f>
        <v>1.0757253712041327E-2</v>
      </c>
      <c r="M13" s="34"/>
    </row>
    <row r="14" spans="1:17" s="44" customFormat="1" ht="12.75" customHeight="1" x14ac:dyDescent="0.25">
      <c r="A14" s="34" t="s">
        <v>162</v>
      </c>
      <c r="B14" s="34" t="s">
        <v>43</v>
      </c>
      <c r="C14" s="34" t="s">
        <v>44</v>
      </c>
      <c r="D14" s="35">
        <v>1.2933999999999999E-2</v>
      </c>
      <c r="E14" s="36">
        <f>'Oct 27'!$D14*$C$6*$C$2</f>
        <v>1728527.5106730398</v>
      </c>
      <c r="F14" s="36">
        <v>1281.44027303754</v>
      </c>
      <c r="G14" s="37">
        <f>'Oct 27'!$E14/'Oct 27'!$F14</f>
        <v>1348.8943238655356</v>
      </c>
      <c r="H14" s="34">
        <v>1465</v>
      </c>
      <c r="I14" s="34">
        <f>ROUND(Table13895845679910111213144562678910111213141516171819202134567891011121314151617181920[[#This Row],[Target Quantity]],0)</f>
        <v>1349</v>
      </c>
      <c r="J14" s="38">
        <f t="shared" si="0"/>
        <v>-116</v>
      </c>
      <c r="K14" s="39">
        <f>'Oct 27'!$F14*'Oct 27'!$I14</f>
        <v>1728662.9283276414</v>
      </c>
      <c r="L14" s="40">
        <f>'Oct 27'!$K14/$K$2</f>
        <v>1.0756929542723784E-2</v>
      </c>
      <c r="M14" s="34"/>
    </row>
    <row r="15" spans="1:17" s="44" customFormat="1" ht="12.75" customHeight="1" x14ac:dyDescent="0.25">
      <c r="A15" s="34" t="s">
        <v>162</v>
      </c>
      <c r="B15" s="34" t="s">
        <v>28</v>
      </c>
      <c r="C15" s="34" t="s">
        <v>29</v>
      </c>
      <c r="D15" s="35">
        <v>1.2933999999999999E-2</v>
      </c>
      <c r="E15" s="36">
        <f>'Oct 27'!$D15*$C$6*$C$2</f>
        <v>1728527.5106730398</v>
      </c>
      <c r="F15" s="36">
        <v>277.62002359186101</v>
      </c>
      <c r="G15" s="37">
        <f>'Oct 27'!$E15/'Oct 27'!$F15</f>
        <v>6226.2350111107589</v>
      </c>
      <c r="H15" s="34">
        <v>6782</v>
      </c>
      <c r="I15" s="34">
        <f>ROUND(Table13895845679910111213144562678910111213141516171819202134567891011121314151617181920[[#This Row],[Target Quantity]],0)</f>
        <v>6226</v>
      </c>
      <c r="J15" s="38">
        <f t="shared" si="0"/>
        <v>-556</v>
      </c>
      <c r="K15" s="39">
        <f>'Oct 27'!$F15*'Oct 27'!$I15</f>
        <v>1728462.2668829267</v>
      </c>
      <c r="L15" s="40">
        <f>'Oct 27'!$K15/$K$2</f>
        <v>1.0755680889219759E-2</v>
      </c>
      <c r="M15" s="34"/>
    </row>
    <row r="16" spans="1:17" s="44" customFormat="1" ht="12.75" customHeight="1" x14ac:dyDescent="0.25">
      <c r="A16" s="34" t="s">
        <v>162</v>
      </c>
      <c r="B16" s="34" t="s">
        <v>19</v>
      </c>
      <c r="C16" s="34" t="s">
        <v>20</v>
      </c>
      <c r="D16" s="35">
        <v>1.2933999999999999E-2</v>
      </c>
      <c r="E16" s="36">
        <f>'Oct 27'!$D16*$C$6*$C$2</f>
        <v>1728527.5106730398</v>
      </c>
      <c r="F16" s="36">
        <v>1310</v>
      </c>
      <c r="G16" s="37">
        <f>'Oct 27'!$E16/'Oct 27'!$F16</f>
        <v>1319.4866493687327</v>
      </c>
      <c r="H16" s="34">
        <v>1436</v>
      </c>
      <c r="I16" s="34">
        <f>ROUND(Table13895845679910111213144562678910111213141516171819202134567891011121314151617181920[[#This Row],[Target Quantity]],0)</f>
        <v>1319</v>
      </c>
      <c r="J16" s="38">
        <f t="shared" si="0"/>
        <v>-117</v>
      </c>
      <c r="K16" s="39">
        <f>'Oct 27'!$F16*'Oct 27'!$I16</f>
        <v>1727890</v>
      </c>
      <c r="L16" s="40">
        <f>'Oct 27'!$K16/$K$2</f>
        <v>1.0752119851125863E-2</v>
      </c>
      <c r="M16" s="34"/>
    </row>
    <row r="17" spans="1:15" s="44" customFormat="1" ht="12.75" customHeight="1" x14ac:dyDescent="0.25">
      <c r="A17" s="34" t="s">
        <v>162</v>
      </c>
      <c r="B17" s="34" t="s">
        <v>25</v>
      </c>
      <c r="C17" s="34" t="s">
        <v>26</v>
      </c>
      <c r="D17" s="35">
        <v>6.4669999999999997E-3</v>
      </c>
      <c r="E17" s="36">
        <f>'Oct 27'!$D17*$C$6*$C$2</f>
        <v>864263.75533651991</v>
      </c>
      <c r="F17" s="36">
        <v>17.050008527410899</v>
      </c>
      <c r="G17" s="37">
        <f>'Oct 27'!$E17/'Oct 27'!$F17</f>
        <v>50689.930972589449</v>
      </c>
      <c r="H17" s="34">
        <v>52771</v>
      </c>
      <c r="I17" s="34">
        <f>ROUND(Table13895845679910111213144562678910111213141516171819202134567891011121314151617181920[[#This Row],[Target Quantity]],0)</f>
        <v>50690</v>
      </c>
      <c r="J17" s="38">
        <f t="shared" si="0"/>
        <v>-2081</v>
      </c>
      <c r="K17" s="39">
        <f>'Oct 27'!$F17*'Oct 27'!$I17</f>
        <v>864264.93225445843</v>
      </c>
      <c r="L17" s="40">
        <f>'Oct 27'!$K17/$K$2</f>
        <v>5.3780507640678009E-3</v>
      </c>
      <c r="M17" s="34"/>
    </row>
    <row r="18" spans="1:15" s="44" customFormat="1" ht="12.75" customHeight="1" x14ac:dyDescent="0.25">
      <c r="A18" s="34" t="s">
        <v>162</v>
      </c>
      <c r="B18" s="34" t="s">
        <v>40</v>
      </c>
      <c r="C18" s="34" t="s">
        <v>41</v>
      </c>
      <c r="D18" s="35">
        <v>6.4669999999999997E-3</v>
      </c>
      <c r="E18" s="36">
        <f>'Oct 27'!$D18*$C$6*$C$2</f>
        <v>864263.75533651991</v>
      </c>
      <c r="F18" s="36">
        <v>34.160008676475897</v>
      </c>
      <c r="G18" s="37">
        <f>'Oct 27'!$E18/'Oct 27'!$F18</f>
        <v>25300.454795601105</v>
      </c>
      <c r="H18" s="34">
        <v>27661</v>
      </c>
      <c r="I18" s="34">
        <f>ROUND(Table13895845679910111213144562678910111213141516171819202134567891011121314151617181920[[#This Row],[Target Quantity]],0)</f>
        <v>25300</v>
      </c>
      <c r="J18" s="38">
        <f t="shared" si="0"/>
        <v>-2361</v>
      </c>
      <c r="K18" s="39">
        <f>'Oct 27'!$F18*'Oct 27'!$I18</f>
        <v>864248.21951484017</v>
      </c>
      <c r="L18" s="40">
        <f>'Oct 27'!$K18/$K$2</f>
        <v>5.3779467659085334E-3</v>
      </c>
      <c r="M18" s="34"/>
    </row>
    <row r="19" spans="1:15" s="44" customFormat="1" ht="12.75" customHeight="1" x14ac:dyDescent="0.25">
      <c r="A19" s="34" t="s">
        <v>162</v>
      </c>
      <c r="B19" s="34" t="s">
        <v>11</v>
      </c>
      <c r="C19" s="34" t="s">
        <v>12</v>
      </c>
      <c r="D19" s="35">
        <v>6.4669999999999997E-3</v>
      </c>
      <c r="E19" s="36">
        <f>'Oct 27'!$D19*$C$6*$C$2</f>
        <v>864263.75533651991</v>
      </c>
      <c r="F19" s="36">
        <v>454.51025390625</v>
      </c>
      <c r="G19" s="37">
        <f>'Oct 27'!$E19/'Oct 27'!$F19</f>
        <v>1901.5275187054153</v>
      </c>
      <c r="H19" s="34">
        <v>2048</v>
      </c>
      <c r="I19" s="34">
        <f>ROUND(Table13895845679910111213144562678910111213141516171819202134567891011121314151617181920[[#This Row],[Target Quantity]],0)</f>
        <v>1902</v>
      </c>
      <c r="J19" s="38">
        <f t="shared" si="0"/>
        <v>-146</v>
      </c>
      <c r="K19" s="39">
        <f>'Oct 27'!$F19*'Oct 27'!$I19</f>
        <v>864478.5029296875</v>
      </c>
      <c r="L19" s="40">
        <f>'Oct 27'!$K19/$K$2</f>
        <v>5.3793797476817742E-3</v>
      </c>
      <c r="M19" s="34"/>
    </row>
    <row r="20" spans="1:15" s="44" customFormat="1" ht="12.75" customHeight="1" x14ac:dyDescent="0.25">
      <c r="A20" s="34" t="s">
        <v>162</v>
      </c>
      <c r="B20" s="34" t="s">
        <v>52</v>
      </c>
      <c r="C20" s="34" t="s">
        <v>53</v>
      </c>
      <c r="D20" s="35">
        <v>1.2933999999999999E-2</v>
      </c>
      <c r="E20" s="36">
        <f>'Oct 27'!$D20*$C$6*$C$2</f>
        <v>1728527.5106730398</v>
      </c>
      <c r="F20" s="36">
        <v>197.22004012247899</v>
      </c>
      <c r="G20" s="37">
        <f>'Oct 27'!$E20/'Oct 27'!$F20</f>
        <v>8764.4618143246371</v>
      </c>
      <c r="H20" s="34">
        <v>9471</v>
      </c>
      <c r="I20" s="34">
        <f>ROUND(Table13895845679910111213144562678910111213141516171819202134567891011121314151617181920[[#This Row],[Target Quantity]],0)</f>
        <v>8764</v>
      </c>
      <c r="J20" s="38">
        <f t="shared" si="0"/>
        <v>-707</v>
      </c>
      <c r="K20" s="39">
        <f>'Oct 27'!$F20*'Oct 27'!$I20</f>
        <v>1728436.4316334059</v>
      </c>
      <c r="L20" s="40">
        <f>'Oct 27'!$K20/$K$2</f>
        <v>1.0755520124530321E-2</v>
      </c>
      <c r="M20" s="34"/>
    </row>
    <row r="21" spans="1:15" s="44" customFormat="1" ht="12.75" customHeight="1" x14ac:dyDescent="0.25">
      <c r="A21" s="34" t="s">
        <v>162</v>
      </c>
      <c r="B21" s="34" t="s">
        <v>31</v>
      </c>
      <c r="C21" s="34" t="s">
        <v>32</v>
      </c>
      <c r="D21" s="35">
        <v>6.4669999999999997E-3</v>
      </c>
      <c r="E21" s="36">
        <f>'Oct 27'!$D21*$C$6*$C$2</f>
        <v>864263.75533651991</v>
      </c>
      <c r="F21" s="36">
        <v>20.599995544367001</v>
      </c>
      <c r="G21" s="37">
        <f>'Oct 27'!$E21/'Oct 27'!$F21</f>
        <v>41954.560304400162</v>
      </c>
      <c r="H21" s="34">
        <v>44887</v>
      </c>
      <c r="I21" s="34">
        <f>ROUND(Table13895845679910111213144562678910111213141516171819202134567891011121314151617181920[[#This Row],[Target Quantity]],0)</f>
        <v>41955</v>
      </c>
      <c r="J21" s="38">
        <f t="shared" si="0"/>
        <v>-2932</v>
      </c>
      <c r="K21" s="39">
        <f>'Oct 27'!$F21*'Oct 27'!$I21</f>
        <v>864272.81306391757</v>
      </c>
      <c r="L21" s="40">
        <f>'Oct 27'!$K21/$K$2</f>
        <v>5.3780998038838934E-3</v>
      </c>
      <c r="M21" s="34"/>
    </row>
    <row r="22" spans="1:15" s="44" customFormat="1" ht="12.75" customHeight="1" x14ac:dyDescent="0.25">
      <c r="A22" s="34" t="s">
        <v>162</v>
      </c>
      <c r="B22" s="34" t="s">
        <v>16</v>
      </c>
      <c r="C22" s="34" t="s">
        <v>17</v>
      </c>
      <c r="D22" s="35">
        <v>1.2933999999999999E-2</v>
      </c>
      <c r="E22" s="36">
        <f>'Oct 27'!$D22*$C$6*$C$2</f>
        <v>1728527.5106730398</v>
      </c>
      <c r="F22" s="36">
        <v>33.7100014531716</v>
      </c>
      <c r="G22" s="37">
        <f>'Oct 27'!$E22/'Oct 27'!$F22</f>
        <v>51276.399767417148</v>
      </c>
      <c r="H22" s="34">
        <v>55052</v>
      </c>
      <c r="I22" s="34">
        <f>ROUND(Table13895845679910111213144562678910111213141516171819202134567891011121314151617181920[[#This Row],[Target Quantity]],0)</f>
        <v>51276</v>
      </c>
      <c r="J22" s="38">
        <f t="shared" si="0"/>
        <v>-3776</v>
      </c>
      <c r="K22" s="39">
        <f>'Oct 27'!$F22*'Oct 27'!$I22</f>
        <v>1728514.0345128269</v>
      </c>
      <c r="L22" s="40">
        <f>'Oct 27'!$K22/$K$2</f>
        <v>1.0756003023013631E-2</v>
      </c>
      <c r="M22" s="34"/>
    </row>
    <row r="23" spans="1:15" s="44" customFormat="1" ht="12.75" customHeight="1" x14ac:dyDescent="0.25">
      <c r="A23" s="34" t="s">
        <v>162</v>
      </c>
      <c r="B23" s="34" t="s">
        <v>57</v>
      </c>
      <c r="C23" s="34" t="s">
        <v>58</v>
      </c>
      <c r="D23" s="35">
        <v>6.4669999999999997E-3</v>
      </c>
      <c r="E23" s="36">
        <f>'Oct 27'!$D23*$C$6*$C$2</f>
        <v>864263.75533651991</v>
      </c>
      <c r="F23" s="36">
        <v>194.05996290954101</v>
      </c>
      <c r="G23" s="37">
        <f>'Oct 27'!$E23/'Oct 27'!$F23</f>
        <v>4453.5912631261672</v>
      </c>
      <c r="H23" s="34">
        <v>4853</v>
      </c>
      <c r="I23" s="34">
        <f>ROUND(Table13895845679910111213144562678910111213141516171819202134567891011121314151617181920[[#This Row],[Target Quantity]],0)</f>
        <v>4454</v>
      </c>
      <c r="J23" s="38">
        <f t="shared" si="0"/>
        <v>-399</v>
      </c>
      <c r="K23" s="39">
        <f>'Oct 27'!$F23*'Oct 27'!$I23</f>
        <v>864343.07479909563</v>
      </c>
      <c r="L23" s="40">
        <f>'Oct 27'!$K23/$K$2</f>
        <v>5.3785370207192146E-3</v>
      </c>
      <c r="M23" s="34"/>
    </row>
    <row r="24" spans="1:15" s="44" customFormat="1" ht="12.75" customHeight="1" x14ac:dyDescent="0.25">
      <c r="A24" s="34" t="s">
        <v>162</v>
      </c>
      <c r="B24" s="34" t="s">
        <v>49</v>
      </c>
      <c r="C24" s="34" t="s">
        <v>50</v>
      </c>
      <c r="D24" s="35">
        <v>6.4669999999999997E-3</v>
      </c>
      <c r="E24" s="36">
        <f>'Oct 27'!$D24*$C$6*$C$2</f>
        <v>864263.75533651991</v>
      </c>
      <c r="F24" s="36">
        <v>61.1400168382877</v>
      </c>
      <c r="G24" s="37">
        <f>'Oct 27'!$E24/'Oct 27'!$F24</f>
        <v>14135.811536042826</v>
      </c>
      <c r="H24" s="34">
        <v>15441</v>
      </c>
      <c r="I24" s="34">
        <f>ROUND(Table13895845679910111213144562678910111213141516171819202134567891011121314151617181920[[#This Row],[Target Quantity]],0)</f>
        <v>14136</v>
      </c>
      <c r="J24" s="38">
        <f t="shared" si="0"/>
        <v>-1305</v>
      </c>
      <c r="K24" s="39">
        <f>'Oct 27'!$F24*'Oct 27'!$I24</f>
        <v>864275.27802603494</v>
      </c>
      <c r="L24" s="40">
        <f>'Oct 27'!$K24/$K$2</f>
        <v>5.3781151425733439E-3</v>
      </c>
      <c r="M24" s="34"/>
    </row>
    <row r="25" spans="1:15" s="44" customFormat="1" ht="12.75" customHeight="1" x14ac:dyDescent="0.25">
      <c r="A25" s="34"/>
      <c r="B25" s="34"/>
      <c r="C25" s="34"/>
      <c r="D25" s="35"/>
      <c r="E25" s="36"/>
      <c r="F25" s="36"/>
      <c r="G25" s="37"/>
      <c r="H25" s="34"/>
      <c r="I25" s="34"/>
      <c r="J25" s="45"/>
      <c r="K25" s="36"/>
      <c r="L25" s="46"/>
      <c r="M25" s="34"/>
    </row>
    <row r="26" spans="1:15" s="53" customFormat="1" ht="12.75" customHeight="1" x14ac:dyDescent="0.25">
      <c r="A26" s="47" t="s">
        <v>175</v>
      </c>
      <c r="B26" s="47"/>
      <c r="C26" s="47"/>
      <c r="D26" s="48">
        <f>SUM(D9:D25)</f>
        <v>0.16814199999999999</v>
      </c>
      <c r="E26" s="49">
        <f>'Oct 27'!$D26*$C$6*$C$2</f>
        <v>22470857.638749521</v>
      </c>
      <c r="F26" s="50"/>
      <c r="G26" s="50"/>
      <c r="H26" s="47"/>
      <c r="I26" s="47"/>
      <c r="J26" s="51"/>
      <c r="K26" s="49">
        <f>SUM(K9:K25)</f>
        <v>22470344.757768355</v>
      </c>
      <c r="L26" s="52">
        <f>'Oct 27'!$K26/$K$2</f>
        <v>0.13982593795417714</v>
      </c>
      <c r="M26" s="47"/>
    </row>
    <row r="27" spans="1:15" s="44" customFormat="1" ht="12.75" customHeight="1" x14ac:dyDescent="0.25">
      <c r="A27" s="34"/>
      <c r="B27" s="34"/>
      <c r="C27" s="34"/>
      <c r="D27" s="35"/>
      <c r="E27" s="36"/>
      <c r="F27" s="36"/>
      <c r="G27" s="37"/>
      <c r="H27" s="34"/>
      <c r="I27" s="34"/>
      <c r="J27" s="45"/>
      <c r="K27" s="36"/>
      <c r="L27" s="40"/>
      <c r="M27" s="34"/>
    </row>
    <row r="28" spans="1:15" s="43" customFormat="1" ht="12.75" customHeight="1" x14ac:dyDescent="0.25">
      <c r="A28" s="54"/>
      <c r="B28" s="47" t="s">
        <v>34</v>
      </c>
      <c r="C28" s="54" t="s">
        <v>35</v>
      </c>
      <c r="D28" s="55">
        <v>1.9782000000000001E-2</v>
      </c>
      <c r="E28" s="56">
        <f>'Oct 27'!$D28*$C$6*$C$2</f>
        <v>2643708.9234679202</v>
      </c>
      <c r="F28" s="50">
        <v>18.140001971511701</v>
      </c>
      <c r="G28" s="57">
        <f>'Oct 27'!$E28/'Oct 27'!$F28</f>
        <v>145739.17509048682</v>
      </c>
      <c r="H28" s="54">
        <v>162312</v>
      </c>
      <c r="I28" s="54">
        <f>ROUND(Table13895845679910111213144562678910111213141516171819202134567891011121314151617181920[[#This Row],[Target Quantity]],0)</f>
        <v>145739</v>
      </c>
      <c r="J28" s="58">
        <f>I28-H28</f>
        <v>-16573</v>
      </c>
      <c r="K28" s="59">
        <f>'Oct 27'!$F28*'Oct 27'!$I28</f>
        <v>2643705.747326144</v>
      </c>
      <c r="L28" s="52">
        <f>'Oct 27'!$K28/$K$2</f>
        <v>1.6450955238100209E-2</v>
      </c>
      <c r="M28" s="47"/>
      <c r="O28" s="42"/>
    </row>
    <row r="29" spans="1:15" s="43" customFormat="1" ht="12.75" customHeight="1" x14ac:dyDescent="0.25">
      <c r="A29" s="34"/>
      <c r="B29" s="34"/>
      <c r="C29" s="34"/>
      <c r="D29" s="35"/>
      <c r="E29" s="36"/>
      <c r="F29" s="36"/>
      <c r="G29" s="37"/>
      <c r="H29" s="34"/>
      <c r="I29" s="34"/>
      <c r="J29" s="45"/>
      <c r="K29" s="39"/>
      <c r="L29" s="40"/>
      <c r="M29" s="34"/>
      <c r="O29" s="42"/>
    </row>
    <row r="30" spans="1:15" s="2" customFormat="1" ht="25.5" x14ac:dyDescent="0.2">
      <c r="A30" s="34" t="s">
        <v>176</v>
      </c>
      <c r="B30" s="60" t="s">
        <v>109</v>
      </c>
      <c r="C30" s="61" t="s">
        <v>110</v>
      </c>
      <c r="D30" s="35">
        <v>2.9673000000000001E-2</v>
      </c>
      <c r="E30" s="36">
        <f>'Oct 27'!$D30*$C$6*$C$2</f>
        <v>3965563.3852018807</v>
      </c>
      <c r="F30" s="36">
        <v>158131.07142857101</v>
      </c>
      <c r="G30" s="37">
        <f>'Oct 27'!$E30/'Oct 27'!$F30</f>
        <v>25.077698831587032</v>
      </c>
      <c r="H30" s="34">
        <v>28</v>
      </c>
      <c r="I30" s="34">
        <v>25</v>
      </c>
      <c r="J30" s="38">
        <f t="shared" ref="J30:J39" si="1">I30-H30</f>
        <v>-3</v>
      </c>
      <c r="K30" s="39">
        <f>'Oct 27'!$F30*'Oct 27'!$I30</f>
        <v>3953276.7857142752</v>
      </c>
      <c r="L30" s="40">
        <f>'Oct 27'!$K30/$K$2</f>
        <v>2.4600006831843178E-2</v>
      </c>
      <c r="M30" s="62"/>
    </row>
    <row r="31" spans="1:15" s="2" customFormat="1" ht="25.5" x14ac:dyDescent="0.2">
      <c r="A31" s="34" t="s">
        <v>176</v>
      </c>
      <c r="B31" s="60" t="s">
        <v>115</v>
      </c>
      <c r="C31" s="61" t="s">
        <v>116</v>
      </c>
      <c r="D31" s="35">
        <v>2.9673000000000001E-2</v>
      </c>
      <c r="E31" s="36">
        <f>'Oct 27'!$D31*$C$6*$C$2</f>
        <v>3965563.3852018807</v>
      </c>
      <c r="F31" s="36">
        <v>216508.35</v>
      </c>
      <c r="G31" s="37">
        <f>'Oct 27'!$E31/'Oct 27'!$F31</f>
        <v>18.315983587708651</v>
      </c>
      <c r="H31" s="34">
        <v>20</v>
      </c>
      <c r="I31" s="34">
        <v>18</v>
      </c>
      <c r="J31" s="38">
        <f t="shared" si="1"/>
        <v>-2</v>
      </c>
      <c r="K31" s="39">
        <f>'Oct 27'!$F31*'Oct 27'!$I31</f>
        <v>3897150.3000000003</v>
      </c>
      <c r="L31" s="40">
        <f>'Oct 27'!$K31/$K$2</f>
        <v>2.4250749239506635E-2</v>
      </c>
      <c r="M31" s="62"/>
    </row>
    <row r="32" spans="1:15" s="2" customFormat="1" ht="25.5" x14ac:dyDescent="0.2">
      <c r="A32" s="34" t="s">
        <v>176</v>
      </c>
      <c r="B32" s="60" t="s">
        <v>121</v>
      </c>
      <c r="C32" s="61" t="s">
        <v>122</v>
      </c>
      <c r="D32" s="35">
        <v>2.9673000000000001E-2</v>
      </c>
      <c r="E32" s="36">
        <f>'Oct 27'!$D32*$C$6*$C$2</f>
        <v>3965563.3852018807</v>
      </c>
      <c r="F32" s="36">
        <v>173575</v>
      </c>
      <c r="G32" s="37">
        <f>'Oct 27'!$E32/'Oct 27'!$F32</f>
        <v>22.846397149369903</v>
      </c>
      <c r="H32" s="34">
        <v>25</v>
      </c>
      <c r="I32" s="34">
        <v>23</v>
      </c>
      <c r="J32" s="38">
        <f t="shared" si="1"/>
        <v>-2</v>
      </c>
      <c r="K32" s="39">
        <f>'Oct 27'!$F32*'Oct 27'!$I32</f>
        <v>3992225</v>
      </c>
      <c r="L32" s="40">
        <f>'Oct 27'!$K32/$K$2</f>
        <v>2.4842369405842359E-2</v>
      </c>
      <c r="M32" s="62"/>
    </row>
    <row r="33" spans="1:13" s="2" customFormat="1" ht="25.5" x14ac:dyDescent="0.2">
      <c r="A33" s="34" t="s">
        <v>176</v>
      </c>
      <c r="B33" s="60" t="s">
        <v>124</v>
      </c>
      <c r="C33" s="61" t="s">
        <v>125</v>
      </c>
      <c r="D33" s="35">
        <v>2.9673000000000001E-2</v>
      </c>
      <c r="E33" s="36">
        <f>'Oct 27'!$D33*$C$6*$C$2</f>
        <v>3965563.3852018807</v>
      </c>
      <c r="F33" s="36">
        <v>125666.171428571</v>
      </c>
      <c r="G33" s="37">
        <f>'Oct 27'!$E33/'Oct 27'!$F33</f>
        <v>31.556331669226651</v>
      </c>
      <c r="H33" s="34">
        <v>35</v>
      </c>
      <c r="I33" s="34">
        <v>32</v>
      </c>
      <c r="J33" s="38">
        <f t="shared" si="1"/>
        <v>-3</v>
      </c>
      <c r="K33" s="39">
        <f>'Oct 27'!$F33*'Oct 27'!$I33</f>
        <v>4021317.4857142721</v>
      </c>
      <c r="L33" s="40">
        <f>'Oct 27'!$K33/$K$2</f>
        <v>2.5023402858878732E-2</v>
      </c>
      <c r="M33" s="62"/>
    </row>
    <row r="34" spans="1:13" s="2" customFormat="1" ht="25.5" x14ac:dyDescent="0.2">
      <c r="A34" s="34" t="s">
        <v>176</v>
      </c>
      <c r="B34" s="60" t="s">
        <v>127</v>
      </c>
      <c r="C34" s="61" t="s">
        <v>128</v>
      </c>
      <c r="D34" s="35">
        <v>2.9673000000000001E-2</v>
      </c>
      <c r="E34" s="36">
        <f>'Oct 27'!$D34*$C$6*$C$2</f>
        <v>3965563.3852018807</v>
      </c>
      <c r="F34" s="36">
        <v>138629.90625</v>
      </c>
      <c r="G34" s="37">
        <f>'Oct 27'!$E34/'Oct 27'!$F34</f>
        <v>28.605396140501831</v>
      </c>
      <c r="H34" s="34">
        <v>32</v>
      </c>
      <c r="I34" s="34">
        <v>29</v>
      </c>
      <c r="J34" s="38">
        <f t="shared" si="1"/>
        <v>-3</v>
      </c>
      <c r="K34" s="39">
        <f>'Oct 27'!$F34*'Oct 27'!$I34</f>
        <v>4020267.28125</v>
      </c>
      <c r="L34" s="40">
        <f>'Oct 27'!$K34/$K$2</f>
        <v>2.501686776447571E-2</v>
      </c>
      <c r="M34" s="62"/>
    </row>
    <row r="35" spans="1:13" s="2" customFormat="1" ht="25.5" x14ac:dyDescent="0.2">
      <c r="A35" s="34" t="s">
        <v>176</v>
      </c>
      <c r="B35" s="60" t="s">
        <v>135</v>
      </c>
      <c r="C35" s="61" t="s">
        <v>136</v>
      </c>
      <c r="D35" s="35">
        <v>2.9673000000000001E-2</v>
      </c>
      <c r="E35" s="36">
        <f>'Oct 27'!$D35*$C$6*$C$2</f>
        <v>3965563.3852018807</v>
      </c>
      <c r="F35" s="36">
        <v>220828.65</v>
      </c>
      <c r="G35" s="37">
        <f>'Oct 27'!$E35/'Oct 27'!$F35</f>
        <v>17.957648997092907</v>
      </c>
      <c r="H35" s="34">
        <v>20</v>
      </c>
      <c r="I35" s="34">
        <v>18</v>
      </c>
      <c r="J35" s="38">
        <f t="shared" si="1"/>
        <v>-2</v>
      </c>
      <c r="K35" s="39">
        <f>'Oct 27'!$F35*'Oct 27'!$I35</f>
        <v>3974915.6999999997</v>
      </c>
      <c r="L35" s="40">
        <f>'Oct 27'!$K35/$K$2</f>
        <v>2.4734659037624999E-2</v>
      </c>
      <c r="M35" s="62"/>
    </row>
    <row r="36" spans="1:13" s="43" customFormat="1" ht="25.5" customHeight="1" x14ac:dyDescent="0.25">
      <c r="A36" s="34" t="s">
        <v>177</v>
      </c>
      <c r="B36" s="34" t="s">
        <v>76</v>
      </c>
      <c r="C36" s="34" t="s">
        <v>77</v>
      </c>
      <c r="D36" s="35">
        <v>2.9673000000000001E-2</v>
      </c>
      <c r="E36" s="36">
        <f>'Oct 27'!$D36*$C$6*$C$2</f>
        <v>3965563.3852018807</v>
      </c>
      <c r="F36" s="36">
        <v>114675.5</v>
      </c>
      <c r="G36" s="37">
        <f>'Oct 27'!$E36/'Oct 27'!$F36</f>
        <v>34.580737692025593</v>
      </c>
      <c r="H36" s="34">
        <v>38</v>
      </c>
      <c r="I36" s="34">
        <v>35</v>
      </c>
      <c r="J36" s="38">
        <f t="shared" si="1"/>
        <v>-3</v>
      </c>
      <c r="K36" s="39">
        <f>'Oct 27'!$F36*'Oct 27'!$I36</f>
        <v>4013642.5</v>
      </c>
      <c r="L36" s="40">
        <f>'Oct 27'!$K36/$K$2</f>
        <v>2.4975643819671645E-2</v>
      </c>
      <c r="M36" s="41"/>
    </row>
    <row r="37" spans="1:13" s="43" customFormat="1" ht="25.5" x14ac:dyDescent="0.25">
      <c r="A37" s="34" t="s">
        <v>177</v>
      </c>
      <c r="B37" s="34" t="s">
        <v>71</v>
      </c>
      <c r="C37" s="34" t="s">
        <v>72</v>
      </c>
      <c r="D37" s="35">
        <v>2.9673000000000001E-2</v>
      </c>
      <c r="E37" s="36">
        <f>'Oct 27'!$D37*$C$6*$C$2</f>
        <v>3965563.3852018807</v>
      </c>
      <c r="F37" s="36">
        <v>134185.21212121201</v>
      </c>
      <c r="G37" s="37">
        <f>'Oct 27'!$E37/'Oct 27'!$F37</f>
        <v>29.552909165726199</v>
      </c>
      <c r="H37" s="34">
        <v>33</v>
      </c>
      <c r="I37" s="34">
        <v>30</v>
      </c>
      <c r="J37" s="38">
        <f t="shared" si="1"/>
        <v>-3</v>
      </c>
      <c r="K37" s="39">
        <f>'Oct 27'!$F37*'Oct 27'!$I37</f>
        <v>4025556.3636363605</v>
      </c>
      <c r="L37" s="40">
        <f>'Oct 27'!$K37/$K$2</f>
        <v>2.5049780072389193E-2</v>
      </c>
      <c r="M37" s="41"/>
    </row>
    <row r="38" spans="1:13" s="43" customFormat="1" ht="25.5" x14ac:dyDescent="0.25">
      <c r="A38" s="34" t="s">
        <v>177</v>
      </c>
      <c r="B38" s="34" t="s">
        <v>67</v>
      </c>
      <c r="C38" s="34" t="s">
        <v>68</v>
      </c>
      <c r="D38" s="35">
        <v>2.9673000000000001E-2</v>
      </c>
      <c r="E38" s="36">
        <f>'Oct 27'!$D38*$C$6*$C$2</f>
        <v>3965563.3852018807</v>
      </c>
      <c r="F38" s="36">
        <v>176145.04</v>
      </c>
      <c r="G38" s="37">
        <f>'Oct 27'!$E38/'Oct 27'!$F38</f>
        <v>22.513057337304989</v>
      </c>
      <c r="H38" s="34">
        <v>25</v>
      </c>
      <c r="I38" s="34">
        <v>23</v>
      </c>
      <c r="J38" s="38">
        <f t="shared" si="1"/>
        <v>-2</v>
      </c>
      <c r="K38" s="39">
        <f>'Oct 27'!$F38*'Oct 27'!$I38</f>
        <v>4051335.9200000004</v>
      </c>
      <c r="L38" s="40">
        <f>'Oct 27'!$K38/$K$2</f>
        <v>2.521019820070217E-2</v>
      </c>
      <c r="M38" s="41"/>
    </row>
    <row r="39" spans="1:13" s="43" customFormat="1" ht="25.5" x14ac:dyDescent="0.25">
      <c r="A39" s="34" t="s">
        <v>177</v>
      </c>
      <c r="B39" s="34" t="s">
        <v>80</v>
      </c>
      <c r="C39" s="34" t="s">
        <v>81</v>
      </c>
      <c r="D39" s="35">
        <v>2.9673000000000001E-2</v>
      </c>
      <c r="E39" s="36">
        <f>'Oct 27'!$D39*$C$6*$C$2</f>
        <v>3965563.3852018807</v>
      </c>
      <c r="F39" s="36">
        <v>266623.5</v>
      </c>
      <c r="G39" s="37">
        <f>'Oct 27'!$E39/'Oct 27'!$F39</f>
        <v>14.873270305137696</v>
      </c>
      <c r="H39" s="34">
        <v>16</v>
      </c>
      <c r="I39" s="34">
        <v>15</v>
      </c>
      <c r="J39" s="38">
        <f t="shared" si="1"/>
        <v>-1</v>
      </c>
      <c r="K39" s="39">
        <f>'Oct 27'!$F39*'Oct 27'!$I39</f>
        <v>3999352.5</v>
      </c>
      <c r="L39" s="40">
        <f>'Oct 27'!$K39/$K$2</f>
        <v>2.4886721612428948E-2</v>
      </c>
      <c r="M39" s="41"/>
    </row>
    <row r="40" spans="1:13" s="64" customFormat="1" ht="12.75" x14ac:dyDescent="0.2">
      <c r="A40" s="34"/>
      <c r="B40" s="61"/>
      <c r="C40" s="61"/>
      <c r="D40" s="35"/>
      <c r="E40" s="63"/>
      <c r="F40" s="36"/>
      <c r="G40" s="37"/>
      <c r="H40" s="34"/>
      <c r="I40" s="34"/>
      <c r="J40" s="45"/>
      <c r="K40" s="36"/>
      <c r="L40" s="46"/>
      <c r="M40" s="62"/>
    </row>
    <row r="41" spans="1:13" s="15" customFormat="1" ht="12.75" x14ac:dyDescent="0.2">
      <c r="A41" s="47" t="s">
        <v>182</v>
      </c>
      <c r="B41" s="65"/>
      <c r="C41" s="65"/>
      <c r="D41" s="55">
        <f>SUBTOTAL(9,D30:D40)</f>
        <v>0.29672999999999999</v>
      </c>
      <c r="E41" s="66">
        <f>'Oct 27'!$D41*$C$6*$C$2</f>
        <v>39655633.852018796</v>
      </c>
      <c r="F41" s="67"/>
      <c r="G41" s="68"/>
      <c r="H41" s="54"/>
      <c r="I41" s="54"/>
      <c r="J41" s="58"/>
      <c r="K41" s="66">
        <f>SUM(K30:K40)</f>
        <v>39949039.836314902</v>
      </c>
      <c r="L41" s="69">
        <f>'Oct 27'!$K41/$K$2</f>
        <v>0.24859039884336354</v>
      </c>
      <c r="M41" s="70"/>
    </row>
    <row r="42" spans="1:13" s="64" customFormat="1" ht="12.75" x14ac:dyDescent="0.2">
      <c r="A42" s="34"/>
      <c r="B42" s="61"/>
      <c r="C42" s="61"/>
      <c r="D42" s="35"/>
      <c r="E42" s="63"/>
      <c r="F42" s="36"/>
      <c r="G42" s="37"/>
      <c r="H42" s="34"/>
      <c r="I42" s="34"/>
      <c r="J42" s="45"/>
      <c r="K42" s="36"/>
      <c r="L42" s="40"/>
      <c r="M42" s="62"/>
    </row>
    <row r="43" spans="1:13" s="2" customFormat="1" ht="24.75" customHeight="1" x14ac:dyDescent="0.2">
      <c r="A43" s="34" t="s">
        <v>176</v>
      </c>
      <c r="B43" s="61" t="s">
        <v>183</v>
      </c>
      <c r="C43" s="61" t="s">
        <v>131</v>
      </c>
      <c r="D43" s="35">
        <v>7.1429000000000006E-2</v>
      </c>
      <c r="E43" s="36">
        <f>'Oct 27'!$D43*$C$6*$C$2</f>
        <v>9545924.8152052406</v>
      </c>
      <c r="F43" s="36">
        <v>416325.8125</v>
      </c>
      <c r="G43" s="37">
        <f>'Oct 27'!$E43/'Oct 27'!$F43</f>
        <v>22.928976605804955</v>
      </c>
      <c r="H43" s="34">
        <v>32</v>
      </c>
      <c r="I43" s="34">
        <v>32</v>
      </c>
      <c r="J43" s="38">
        <f t="shared" ref="J43:J49" si="2">I43-H43</f>
        <v>0</v>
      </c>
      <c r="K43" s="39">
        <f>'Oct 27'!$F43*'Oct 27'!$I43</f>
        <v>13322426</v>
      </c>
      <c r="L43" s="40">
        <f>'Oct 27'!$K43/$K$2</f>
        <v>8.2901296413403255E-2</v>
      </c>
      <c r="M43" s="62"/>
    </row>
    <row r="44" spans="1:13" s="43" customFormat="1" ht="25.5" x14ac:dyDescent="0.25">
      <c r="A44" s="34" t="s">
        <v>177</v>
      </c>
      <c r="B44" s="34" t="s">
        <v>82</v>
      </c>
      <c r="C44" s="34" t="s">
        <v>83</v>
      </c>
      <c r="D44" s="35">
        <v>7.1429000000000006E-2</v>
      </c>
      <c r="E44" s="36">
        <f>'Oct 27'!$D44*$C$6*$C$2</f>
        <v>9545924.8152052406</v>
      </c>
      <c r="F44" s="36">
        <v>249387.490566038</v>
      </c>
      <c r="G44" s="37">
        <f>'Oct 27'!$E44/'Oct 27'!$F44</f>
        <v>38.277480532558918</v>
      </c>
      <c r="H44" s="34">
        <v>53</v>
      </c>
      <c r="I44" s="34">
        <v>53</v>
      </c>
      <c r="J44" s="38">
        <f t="shared" si="2"/>
        <v>0</v>
      </c>
      <c r="K44" s="39">
        <f>'Oct 27'!$F44*'Oct 27'!$I44</f>
        <v>13217537.000000015</v>
      </c>
      <c r="L44" s="40">
        <f>'Oct 27'!$K44/$K$2</f>
        <v>8.2248604923166851E-2</v>
      </c>
      <c r="M44" s="41"/>
    </row>
    <row r="45" spans="1:13" s="43" customFormat="1" ht="25.5" x14ac:dyDescent="0.25">
      <c r="A45" s="34" t="s">
        <v>177</v>
      </c>
      <c r="B45" s="34" t="s">
        <v>184</v>
      </c>
      <c r="C45" s="34" t="s">
        <v>105</v>
      </c>
      <c r="D45" s="35">
        <v>7.1429000000000006E-2</v>
      </c>
      <c r="E45" s="36">
        <f>'Oct 27'!$D45*$C$6*$C$2</f>
        <v>9545924.8152052406</v>
      </c>
      <c r="F45" s="36">
        <v>416332.625</v>
      </c>
      <c r="G45" s="37">
        <f>'Oct 27'!$E45/'Oct 27'!$F45</f>
        <v>22.928601416247982</v>
      </c>
      <c r="H45" s="34">
        <v>32</v>
      </c>
      <c r="I45" s="34">
        <v>32</v>
      </c>
      <c r="J45" s="38">
        <f t="shared" si="2"/>
        <v>0</v>
      </c>
      <c r="K45" s="39">
        <f>'Oct 27'!$F45*'Oct 27'!$I45</f>
        <v>13322644</v>
      </c>
      <c r="L45" s="40">
        <f>'Oct 27'!$K45/$K$2</f>
        <v>8.2902652959322004E-2</v>
      </c>
      <c r="M45" s="41"/>
    </row>
    <row r="46" spans="1:13" s="43" customFormat="1" ht="25.5" x14ac:dyDescent="0.25">
      <c r="A46" s="34" t="s">
        <v>177</v>
      </c>
      <c r="B46" s="34" t="s">
        <v>107</v>
      </c>
      <c r="C46" s="34" t="s">
        <v>108</v>
      </c>
      <c r="D46" s="35">
        <v>7.1429000000000006E-2</v>
      </c>
      <c r="E46" s="36">
        <f>'Oct 27'!$D46*$C$6*$C$2</f>
        <v>9545924.8152052406</v>
      </c>
      <c r="F46" s="36">
        <v>249795.47169811299</v>
      </c>
      <c r="G46" s="37">
        <f>'Oct 27'!$E46/'Oct 27'!$F46</f>
        <v>38.214963427126662</v>
      </c>
      <c r="H46" s="34">
        <v>53</v>
      </c>
      <c r="I46" s="34">
        <v>53</v>
      </c>
      <c r="J46" s="38">
        <f t="shared" si="2"/>
        <v>0</v>
      </c>
      <c r="K46" s="39">
        <f>'Oct 27'!$F46*'Oct 27'!$I46</f>
        <v>13239159.999999989</v>
      </c>
      <c r="L46" s="40">
        <f>'Oct 27'!$K46/$K$2</f>
        <v>8.2383158099318468E-2</v>
      </c>
      <c r="M46" s="41"/>
    </row>
    <row r="47" spans="1:13" s="43" customFormat="1" ht="25.5" x14ac:dyDescent="0.25">
      <c r="A47" s="34" t="s">
        <v>177</v>
      </c>
      <c r="B47" s="34" t="s">
        <v>85</v>
      </c>
      <c r="C47" s="34" t="s">
        <v>86</v>
      </c>
      <c r="D47" s="35">
        <v>7.1429000000000006E-2</v>
      </c>
      <c r="E47" s="36">
        <f>'Oct 27'!$D47*$C$6*$C$2</f>
        <v>9545924.8152052406</v>
      </c>
      <c r="F47" s="36">
        <v>162511.17073170701</v>
      </c>
      <c r="G47" s="37">
        <f>'Oct 27'!$E47/'Oct 27'!$F47</f>
        <v>58.740114739341834</v>
      </c>
      <c r="H47" s="34">
        <v>82</v>
      </c>
      <c r="I47" s="34">
        <v>82</v>
      </c>
      <c r="J47" s="38">
        <f t="shared" si="2"/>
        <v>0</v>
      </c>
      <c r="K47" s="39">
        <f>'Oct 27'!$F47*'Oct 27'!$I47</f>
        <v>13325915.999999974</v>
      </c>
      <c r="L47" s="40">
        <f>'Oct 27'!$K47/$K$2</f>
        <v>8.2923013593478465E-2</v>
      </c>
      <c r="M47" s="41"/>
    </row>
    <row r="48" spans="1:13" s="43" customFormat="1" ht="25.5" x14ac:dyDescent="0.25">
      <c r="A48" s="34" t="s">
        <v>177</v>
      </c>
      <c r="B48" s="34" t="s">
        <v>186</v>
      </c>
      <c r="C48" s="34" t="s">
        <v>187</v>
      </c>
      <c r="D48" s="35">
        <v>7.1429000000000006E-2</v>
      </c>
      <c r="E48" s="36">
        <f>'Oct 27'!$D48*$C$6*$C$2</f>
        <v>9545924.8152052406</v>
      </c>
      <c r="F48" s="36">
        <v>175847.342105263</v>
      </c>
      <c r="G48" s="37">
        <f>'Oct 27'!$E48/'Oct 27'!$F48</f>
        <v>54.285294852457923</v>
      </c>
      <c r="H48" s="34">
        <v>76</v>
      </c>
      <c r="I48" s="34">
        <v>76</v>
      </c>
      <c r="J48" s="38">
        <f t="shared" si="2"/>
        <v>0</v>
      </c>
      <c r="K48" s="39">
        <f>'Oct 27'!$F48*'Oct 27'!$I48</f>
        <v>13364397.999999989</v>
      </c>
      <c r="L48" s="40">
        <f>'Oct 27'!$K48/$K$2</f>
        <v>8.3162475061576077E-2</v>
      </c>
      <c r="M48" s="41"/>
    </row>
    <row r="49" spans="1:16" s="43" customFormat="1" ht="25.5" x14ac:dyDescent="0.25">
      <c r="A49" s="34" t="s">
        <v>177</v>
      </c>
      <c r="B49" s="34" t="s">
        <v>188</v>
      </c>
      <c r="C49" s="34" t="s">
        <v>189</v>
      </c>
      <c r="D49" s="35">
        <v>7.1429000000000006E-2</v>
      </c>
      <c r="E49" s="36">
        <f>'Oct 27'!$D49*$C$6*$C$2</f>
        <v>9545924.8152052406</v>
      </c>
      <c r="F49" s="36">
        <v>713934.15789473697</v>
      </c>
      <c r="G49" s="37">
        <f>'Oct 27'!$E49/'Oct 27'!$F49</f>
        <v>13.370875604767884</v>
      </c>
      <c r="H49" s="34">
        <v>19</v>
      </c>
      <c r="I49" s="34">
        <v>19</v>
      </c>
      <c r="J49" s="38">
        <f t="shared" si="2"/>
        <v>0</v>
      </c>
      <c r="K49" s="39">
        <f>'Oct 27'!$F49*'Oct 27'!$I49</f>
        <v>13564749.000000002</v>
      </c>
      <c r="L49" s="40">
        <f>'Oct 27'!$K49/$K$2</f>
        <v>8.4409196765094854E-2</v>
      </c>
      <c r="M49" s="41"/>
    </row>
    <row r="50" spans="1:16" s="44" customFormat="1" ht="12.75" x14ac:dyDescent="0.25">
      <c r="A50" s="34"/>
      <c r="B50" s="34"/>
      <c r="C50" s="34"/>
      <c r="D50" s="35"/>
      <c r="E50" s="36"/>
      <c r="F50" s="36"/>
      <c r="G50" s="37"/>
      <c r="H50" s="34"/>
      <c r="I50" s="34"/>
      <c r="J50" s="45"/>
      <c r="K50" s="36"/>
      <c r="L50" s="40"/>
      <c r="M50" s="34"/>
    </row>
    <row r="51" spans="1:16" s="53" customFormat="1" ht="25.5" x14ac:dyDescent="0.25">
      <c r="A51" s="47" t="s">
        <v>190</v>
      </c>
      <c r="B51" s="47"/>
      <c r="C51" s="47"/>
      <c r="D51" s="55">
        <f>SUBTOTAL(9,D43:D50)</f>
        <v>0.50000300000000009</v>
      </c>
      <c r="E51" s="49">
        <f>'Oct 27'!$D51*$C$6*$C$2</f>
        <v>66821473.706436701</v>
      </c>
      <c r="F51" s="68"/>
      <c r="G51" s="68"/>
      <c r="H51" s="54"/>
      <c r="I51" s="54"/>
      <c r="J51" s="58"/>
      <c r="K51" s="49">
        <f>SUM(K43:K50)</f>
        <v>93356829.999999955</v>
      </c>
      <c r="L51" s="71">
        <f>'Oct 27'!$K51/$K$2</f>
        <v>0.58093039781535982</v>
      </c>
      <c r="M51" s="47"/>
    </row>
    <row r="52" spans="1:16" s="44" customFormat="1" ht="12.75" x14ac:dyDescent="0.25">
      <c r="A52" s="34"/>
      <c r="B52" s="34"/>
      <c r="C52" s="34"/>
      <c r="D52" s="35"/>
      <c r="E52" s="36"/>
      <c r="F52" s="36"/>
      <c r="G52" s="37"/>
      <c r="H52" s="34"/>
      <c r="I52" s="34"/>
      <c r="J52" s="45"/>
      <c r="K52" s="36"/>
      <c r="L52" s="40"/>
      <c r="M52" s="34"/>
    </row>
    <row r="53" spans="1:16" s="43" customFormat="1" ht="12.75" x14ac:dyDescent="0.25">
      <c r="A53" s="34"/>
      <c r="B53" s="34"/>
      <c r="C53" s="34"/>
      <c r="D53" s="35"/>
      <c r="E53" s="36"/>
      <c r="F53" s="36"/>
      <c r="G53" s="72"/>
      <c r="H53" s="34"/>
      <c r="I53" s="34"/>
      <c r="J53" s="38"/>
      <c r="K53" s="39"/>
      <c r="L53" s="40"/>
      <c r="M53" s="41"/>
    </row>
    <row r="54" spans="1:16" s="43" customFormat="1" ht="25.5" x14ac:dyDescent="0.25">
      <c r="A54" s="34" t="s">
        <v>191</v>
      </c>
      <c r="B54" s="34" t="s">
        <v>63</v>
      </c>
      <c r="C54" s="34" t="s">
        <v>64</v>
      </c>
      <c r="D54" s="35">
        <v>9.8900000000000008E-4</v>
      </c>
      <c r="E54" s="36">
        <f>'Oct 27'!$D54*$C$6*$C$2</f>
        <v>132172.08195884002</v>
      </c>
      <c r="F54" s="36">
        <v>45400</v>
      </c>
      <c r="G54" s="72">
        <f>'Oct 27'!$E54/'Oct 27'!$F54</f>
        <v>2.9112793383004409</v>
      </c>
      <c r="H54" s="34">
        <v>3</v>
      </c>
      <c r="I54" s="34">
        <v>3</v>
      </c>
      <c r="J54" s="38">
        <f t="shared" ref="J54:J63" si="3">I54-H54</f>
        <v>0</v>
      </c>
      <c r="K54" s="39">
        <f>'Oct 27'!$F54*'Oct 27'!$I54</f>
        <v>136200</v>
      </c>
      <c r="L54" s="40">
        <f>'Oct 27'!$K54/$K$2</f>
        <v>8.4753006483245037E-4</v>
      </c>
      <c r="M54" s="41"/>
    </row>
    <row r="55" spans="1:16" s="43" customFormat="1" ht="25.5" x14ac:dyDescent="0.25">
      <c r="A55" s="34" t="s">
        <v>191</v>
      </c>
      <c r="B55" s="34" t="s">
        <v>73</v>
      </c>
      <c r="C55" s="34" t="s">
        <v>74</v>
      </c>
      <c r="D55" s="35">
        <v>9.8900000000000008E-4</v>
      </c>
      <c r="E55" s="36">
        <f>'Oct 27'!$D55*$C$6*$C$2</f>
        <v>132172.08195884002</v>
      </c>
      <c r="F55" s="36">
        <v>169323</v>
      </c>
      <c r="G55" s="72">
        <f>'Oct 27'!$E55/'Oct 27'!$F55</f>
        <v>0.78059142561164174</v>
      </c>
      <c r="H55" s="34">
        <v>1</v>
      </c>
      <c r="I55" s="34">
        <v>1</v>
      </c>
      <c r="J55" s="38">
        <f t="shared" si="3"/>
        <v>0</v>
      </c>
      <c r="K55" s="39">
        <f>'Oct 27'!$F55*'Oct 27'!$I55</f>
        <v>169323</v>
      </c>
      <c r="L55" s="40">
        <f>'Oct 27'!$K55/$K$2</f>
        <v>1.0536441495420338E-3</v>
      </c>
      <c r="M55" s="41"/>
      <c r="P55" s="43" t="s">
        <v>194</v>
      </c>
    </row>
    <row r="56" spans="1:16" s="43" customFormat="1" ht="25.5" x14ac:dyDescent="0.25">
      <c r="A56" s="34" t="s">
        <v>191</v>
      </c>
      <c r="B56" s="34" t="s">
        <v>92</v>
      </c>
      <c r="C56" s="34" t="s">
        <v>93</v>
      </c>
      <c r="D56" s="35">
        <v>9.8900000000000008E-4</v>
      </c>
      <c r="E56" s="36">
        <f>'Oct 27'!$D56*$C$6*$C$2</f>
        <v>132172.08195884002</v>
      </c>
      <c r="F56" s="36">
        <v>93686</v>
      </c>
      <c r="G56" s="72">
        <f>'Oct 27'!$E56/'Oct 27'!$F56</f>
        <v>1.4107986461033668</v>
      </c>
      <c r="H56" s="34">
        <v>2</v>
      </c>
      <c r="I56" s="34">
        <v>2</v>
      </c>
      <c r="J56" s="38">
        <f t="shared" si="3"/>
        <v>0</v>
      </c>
      <c r="K56" s="39">
        <f>'Oct 27'!$F56*'Oct 27'!$I56</f>
        <v>187372</v>
      </c>
      <c r="L56" s="40">
        <f>'Oct 27'!$K56/$K$2</f>
        <v>1.1659574398515851E-3</v>
      </c>
      <c r="M56" s="41"/>
    </row>
    <row r="57" spans="1:16" s="43" customFormat="1" ht="25.5" x14ac:dyDescent="0.25">
      <c r="A57" s="34" t="s">
        <v>191</v>
      </c>
      <c r="B57" s="34" t="s">
        <v>94</v>
      </c>
      <c r="C57" s="34" t="s">
        <v>95</v>
      </c>
      <c r="D57" s="35">
        <v>9.8900000000000008E-4</v>
      </c>
      <c r="E57" s="36">
        <f>'Oct 27'!$D57*$C$6*$C$2</f>
        <v>132172.08195884002</v>
      </c>
      <c r="F57" s="36">
        <v>238525</v>
      </c>
      <c r="G57" s="72">
        <f>'Oct 27'!$E57/'Oct 27'!$F57</f>
        <v>0.55412255301892888</v>
      </c>
      <c r="H57" s="34">
        <v>1</v>
      </c>
      <c r="I57" s="34">
        <v>1</v>
      </c>
      <c r="J57" s="38">
        <f t="shared" si="3"/>
        <v>0</v>
      </c>
      <c r="K57" s="39">
        <f>'Oct 27'!$F57*'Oct 27'!$I57</f>
        <v>238525</v>
      </c>
      <c r="L57" s="40">
        <f>'Oct 27'!$K57/$K$2</f>
        <v>1.4842665838044071E-3</v>
      </c>
      <c r="M57" s="41"/>
    </row>
    <row r="58" spans="1:16" s="43" customFormat="1" ht="25.5" x14ac:dyDescent="0.25">
      <c r="A58" s="34" t="s">
        <v>191</v>
      </c>
      <c r="B58" s="34" t="s">
        <v>98</v>
      </c>
      <c r="C58" s="34" t="s">
        <v>99</v>
      </c>
      <c r="D58" s="35">
        <v>9.8900000000000008E-4</v>
      </c>
      <c r="E58" s="36">
        <f>'Oct 27'!$D58*$C$6*$C$2</f>
        <v>132172.08195884002</v>
      </c>
      <c r="F58" s="36">
        <v>11052.333333333299</v>
      </c>
      <c r="G58" s="72">
        <f>'Oct 27'!$E58/'Oct 27'!$F58</f>
        <v>11.958749159348592</v>
      </c>
      <c r="H58" s="34">
        <v>12</v>
      </c>
      <c r="I58" s="34">
        <v>12</v>
      </c>
      <c r="J58" s="38">
        <f t="shared" si="3"/>
        <v>0</v>
      </c>
      <c r="K58" s="39">
        <f>'Oct 27'!$F58*'Oct 27'!$I58</f>
        <v>132627.99999999959</v>
      </c>
      <c r="L58" s="40">
        <f>'Oct 27'!$K58/$K$2</f>
        <v>8.253026243656232E-4</v>
      </c>
      <c r="M58" s="41"/>
    </row>
    <row r="59" spans="1:16" s="43" customFormat="1" ht="25.5" x14ac:dyDescent="0.25">
      <c r="A59" s="34" t="s">
        <v>191</v>
      </c>
      <c r="B59" s="34" t="s">
        <v>101</v>
      </c>
      <c r="C59" s="34" t="s">
        <v>102</v>
      </c>
      <c r="D59" s="35">
        <v>9.8900000000000008E-4</v>
      </c>
      <c r="E59" s="36">
        <f>'Oct 27'!$D59*$C$6*$C$2</f>
        <v>132172.08195884002</v>
      </c>
      <c r="F59" s="36">
        <v>90297</v>
      </c>
      <c r="G59" s="72">
        <f>'Oct 27'!$E59/'Oct 27'!$F59</f>
        <v>1.4637483189789253</v>
      </c>
      <c r="H59" s="34">
        <v>2</v>
      </c>
      <c r="I59" s="34">
        <v>2</v>
      </c>
      <c r="J59" s="38">
        <f t="shared" si="3"/>
        <v>0</v>
      </c>
      <c r="K59" s="39">
        <f>'Oct 27'!$F59*'Oct 27'!$I59</f>
        <v>180594</v>
      </c>
      <c r="L59" s="40">
        <f>'Oct 27'!$K59/$K$2</f>
        <v>1.1237800626163843E-3</v>
      </c>
      <c r="M59" s="41"/>
    </row>
    <row r="60" spans="1:16" s="2" customFormat="1" ht="25.5" x14ac:dyDescent="0.2">
      <c r="A60" s="34" t="s">
        <v>191</v>
      </c>
      <c r="B60" s="61" t="s">
        <v>132</v>
      </c>
      <c r="C60" s="61" t="s">
        <v>133</v>
      </c>
      <c r="D60" s="35">
        <v>9.8900000000000008E-4</v>
      </c>
      <c r="E60" s="36">
        <f>'Oct 27'!$D60*$C$6*$C$2</f>
        <v>132172.08195884002</v>
      </c>
      <c r="F60" s="36">
        <v>63223.5</v>
      </c>
      <c r="G60" s="72">
        <f>'Oct 27'!$E60/'Oct 27'!$F60</f>
        <v>2.0905530690145282</v>
      </c>
      <c r="H60" s="34">
        <v>2</v>
      </c>
      <c r="I60" s="34">
        <v>2</v>
      </c>
      <c r="J60" s="38">
        <f t="shared" si="3"/>
        <v>0</v>
      </c>
      <c r="K60" s="39">
        <f>'Oct 27'!$F60*'Oct 27'!$I60</f>
        <v>126447</v>
      </c>
      <c r="L60" s="40">
        <f>'Oct 27'!$K60/$K$2</f>
        <v>7.8684019168773016E-4</v>
      </c>
      <c r="M60" s="62"/>
    </row>
    <row r="61" spans="1:16" s="43" customFormat="1" ht="25.5" x14ac:dyDescent="0.25">
      <c r="A61" s="34" t="s">
        <v>191</v>
      </c>
      <c r="B61" s="34" t="s">
        <v>89</v>
      </c>
      <c r="C61" s="34" t="s">
        <v>90</v>
      </c>
      <c r="D61" s="35">
        <v>9.8900000000000008E-4</v>
      </c>
      <c r="E61" s="36">
        <f>'Oct 27'!$D61*$C$6*$C$2</f>
        <v>132172.08195884002</v>
      </c>
      <c r="F61" s="36">
        <v>32420</v>
      </c>
      <c r="G61" s="72">
        <f>'Oct 27'!$E61/'Oct 27'!$F61</f>
        <v>4.0768686600505868</v>
      </c>
      <c r="H61" s="34">
        <v>5</v>
      </c>
      <c r="I61" s="34">
        <v>4</v>
      </c>
      <c r="J61" s="38">
        <f t="shared" si="3"/>
        <v>-1</v>
      </c>
      <c r="K61" s="39">
        <f>'Oct 27'!$F61*'Oct 27'!$I61</f>
        <v>129680</v>
      </c>
      <c r="L61" s="40">
        <f>'Oct 27'!$K61/$K$2</f>
        <v>8.0695814102402469E-4</v>
      </c>
      <c r="M61" s="41"/>
    </row>
    <row r="62" spans="1:16" s="43" customFormat="1" ht="25.5" x14ac:dyDescent="0.25">
      <c r="A62" s="34" t="s">
        <v>191</v>
      </c>
      <c r="B62" s="34" t="s">
        <v>113</v>
      </c>
      <c r="C62" s="34" t="s">
        <v>114</v>
      </c>
      <c r="D62" s="35">
        <v>9.8900000000000008E-4</v>
      </c>
      <c r="E62" s="36">
        <f>'Oct 27'!$D62*$C$6*$C$2</f>
        <v>132172.08195884002</v>
      </c>
      <c r="F62" s="36">
        <v>8606.5294117647099</v>
      </c>
      <c r="G62" s="72">
        <f>'Oct 27'!$E62/'Oct 27'!$F62</f>
        <v>15.357187041987816</v>
      </c>
      <c r="H62" s="34">
        <v>17</v>
      </c>
      <c r="I62" s="34">
        <v>15</v>
      </c>
      <c r="J62" s="38">
        <f t="shared" si="3"/>
        <v>-2</v>
      </c>
      <c r="K62" s="39">
        <f>'Oct 27'!$F62*'Oct 27'!$I62</f>
        <v>129097.94117647065</v>
      </c>
      <c r="L62" s="40">
        <f>'Oct 27'!$K62/$K$2</f>
        <v>8.0333617074177703E-4</v>
      </c>
      <c r="M62" s="41"/>
    </row>
    <row r="63" spans="1:16" s="43" customFormat="1" ht="25.5" x14ac:dyDescent="0.25">
      <c r="A63" s="34" t="s">
        <v>191</v>
      </c>
      <c r="B63" s="34" t="s">
        <v>96</v>
      </c>
      <c r="C63" s="34" t="s">
        <v>97</v>
      </c>
      <c r="D63" s="35">
        <v>9.8900000000000008E-4</v>
      </c>
      <c r="E63" s="36">
        <f>'Oct 27'!$D63*$C$6*$C$2</f>
        <v>132172.08195884002</v>
      </c>
      <c r="F63" s="36">
        <v>46414.333333333299</v>
      </c>
      <c r="G63" s="72">
        <f>'Oct 27'!$E63/'Oct 27'!$F63</f>
        <v>2.8476565850816224</v>
      </c>
      <c r="H63" s="34">
        <v>3</v>
      </c>
      <c r="I63" s="34">
        <v>3</v>
      </c>
      <c r="J63" s="38">
        <f t="shared" si="3"/>
        <v>0</v>
      </c>
      <c r="K63" s="39">
        <f>'Oct 27'!$F63*'Oct 27'!$I63</f>
        <v>139242.99999999988</v>
      </c>
      <c r="L63" s="40">
        <f>'Oct 27'!$K63/$K$2</f>
        <v>8.6646570350561516E-4</v>
      </c>
      <c r="M63" s="41"/>
    </row>
    <row r="64" spans="1:16" s="43" customFormat="1" ht="12.75" x14ac:dyDescent="0.25">
      <c r="A64" s="34"/>
      <c r="B64" s="34"/>
      <c r="C64" s="34"/>
      <c r="D64" s="35"/>
      <c r="E64" s="36"/>
      <c r="F64" s="36"/>
      <c r="G64" s="37"/>
      <c r="H64" s="34"/>
      <c r="I64" s="34"/>
      <c r="J64" s="41"/>
      <c r="K64" s="39"/>
      <c r="L64" s="40"/>
      <c r="M64" s="41"/>
    </row>
    <row r="65" spans="1:13" s="43" customFormat="1" ht="12.75" x14ac:dyDescent="0.25">
      <c r="A65" s="34"/>
      <c r="B65" s="34"/>
      <c r="C65" s="34"/>
      <c r="D65" s="35"/>
      <c r="E65" s="36"/>
      <c r="F65" s="36"/>
      <c r="G65" s="37"/>
      <c r="H65" s="34"/>
      <c r="I65" s="34"/>
      <c r="J65" s="41"/>
      <c r="K65" s="39"/>
      <c r="L65" s="40"/>
      <c r="M65" s="41"/>
    </row>
    <row r="66" spans="1:13" s="43" customFormat="1" ht="12.75" x14ac:dyDescent="0.25">
      <c r="A66" s="34"/>
      <c r="B66" s="34"/>
      <c r="C66" s="34"/>
      <c r="D66" s="35"/>
      <c r="E66" s="36"/>
      <c r="F66" s="36"/>
      <c r="G66" s="37"/>
      <c r="H66" s="34"/>
      <c r="I66" s="34"/>
      <c r="J66" s="41"/>
      <c r="K66" s="39"/>
      <c r="L66" s="40"/>
      <c r="M66" s="41"/>
    </row>
    <row r="67" spans="1:13" s="15" customFormat="1" ht="12.75" x14ac:dyDescent="0.2">
      <c r="A67" s="47" t="s">
        <v>205</v>
      </c>
      <c r="B67" s="65"/>
      <c r="C67" s="65"/>
      <c r="D67" s="88">
        <f>SUM(D54:D66)</f>
        <v>9.8900000000000012E-3</v>
      </c>
      <c r="E67" s="49">
        <f>SUM(E53:E66)</f>
        <v>1321720.8195884004</v>
      </c>
      <c r="F67" s="68"/>
      <c r="G67" s="68"/>
      <c r="H67" s="65"/>
      <c r="I67" s="65"/>
      <c r="J67" s="47"/>
      <c r="K67" s="49">
        <f>SUM(K53:K66)</f>
        <v>1569109.9411764699</v>
      </c>
      <c r="L67" s="52">
        <f>'Oct 27'!$K67/$K$2</f>
        <v>9.7640811319716289E-3</v>
      </c>
      <c r="M67" s="59"/>
    </row>
    <row r="68" spans="1:13" s="2" customFormat="1" ht="12.75" x14ac:dyDescent="0.2">
      <c r="A68" s="34"/>
      <c r="B68" s="61"/>
      <c r="C68" s="61"/>
      <c r="D68" s="74"/>
      <c r="E68" s="36"/>
      <c r="F68" s="36"/>
      <c r="G68" s="37"/>
      <c r="H68" s="61"/>
      <c r="I68" s="61"/>
      <c r="J68" s="34"/>
      <c r="K68" s="34"/>
      <c r="L68" s="40"/>
      <c r="M68" s="62"/>
    </row>
    <row r="69" spans="1:13" s="43" customFormat="1" ht="25.5" x14ac:dyDescent="0.25">
      <c r="A69" s="47" t="s">
        <v>206</v>
      </c>
      <c r="B69" s="54" t="s">
        <v>118</v>
      </c>
      <c r="C69" s="54" t="s">
        <v>119</v>
      </c>
      <c r="D69" s="55">
        <v>5.4539999999999996E-3</v>
      </c>
      <c r="E69" s="56">
        <f>'Oct 27'!$D69*$C$6*$C$2</f>
        <v>728884.26188423997</v>
      </c>
      <c r="F69" s="56">
        <v>31010.15</v>
      </c>
      <c r="G69" s="57">
        <f>'Oct 27'!$E69/'Oct 27'!$F69</f>
        <v>23.504699651057475</v>
      </c>
      <c r="H69" s="54">
        <v>40</v>
      </c>
      <c r="I69" s="54">
        <v>23</v>
      </c>
      <c r="J69" s="75">
        <f>I69-H69</f>
        <v>-17</v>
      </c>
      <c r="K69" s="56">
        <f>'Oct 27'!$F69*'Oct 27'!$I69</f>
        <v>713233.45000000007</v>
      </c>
      <c r="L69" s="76">
        <f>'Oct 27'!$K69/$K$2</f>
        <v>4.4382290170276971E-3</v>
      </c>
      <c r="M69" s="54"/>
    </row>
    <row r="70" spans="1:13" s="2" customFormat="1" ht="12.75" x14ac:dyDescent="0.2">
      <c r="A70" s="34"/>
      <c r="B70" s="61"/>
      <c r="C70" s="61"/>
      <c r="D70" s="74"/>
      <c r="E70" s="36"/>
      <c r="F70" s="36"/>
      <c r="G70" s="37"/>
      <c r="H70" s="61"/>
      <c r="I70" s="61"/>
      <c r="J70" s="34"/>
      <c r="K70" s="34"/>
      <c r="L70" s="40"/>
      <c r="M70" s="62"/>
    </row>
    <row r="71" spans="1:13" s="2" customFormat="1" ht="12.75" x14ac:dyDescent="0.2">
      <c r="A71" s="34"/>
      <c r="B71" s="61"/>
      <c r="C71" s="61"/>
      <c r="D71" s="77"/>
      <c r="E71" s="63"/>
      <c r="F71" s="36"/>
      <c r="G71" s="37"/>
      <c r="H71" s="61"/>
      <c r="I71" s="61"/>
      <c r="J71" s="34"/>
      <c r="K71" s="34"/>
      <c r="L71" s="40"/>
      <c r="M71" s="62"/>
    </row>
    <row r="72" spans="1:13" s="15" customFormat="1" ht="12.75" x14ac:dyDescent="0.2">
      <c r="A72" s="47" t="s">
        <v>208</v>
      </c>
      <c r="B72" s="65"/>
      <c r="C72" s="65"/>
      <c r="D72" s="65"/>
      <c r="E72" s="78"/>
      <c r="F72" s="78"/>
      <c r="G72" s="47"/>
      <c r="H72" s="65"/>
      <c r="I72" s="65"/>
      <c r="J72" s="65"/>
      <c r="K72" s="78">
        <f>SUM(K26,K28,K41,K51,K67,K69:K69)</f>
        <v>160702263.73258582</v>
      </c>
      <c r="L72" s="52">
        <f>'Oct 27'!$K72/$K$2</f>
        <v>1</v>
      </c>
      <c r="M72" s="65"/>
    </row>
    <row r="73" spans="1:13" s="2" customFormat="1" ht="12.75" x14ac:dyDescent="0.2">
      <c r="A73" s="62"/>
      <c r="B73" s="62"/>
      <c r="C73" s="62"/>
      <c r="D73" s="79"/>
      <c r="E73" s="80"/>
      <c r="F73" s="36"/>
      <c r="G73" s="81"/>
      <c r="H73" s="62"/>
      <c r="I73" s="62"/>
      <c r="J73" s="62"/>
      <c r="K73" s="62"/>
      <c r="L73" s="40"/>
      <c r="M73" s="62"/>
    </row>
    <row r="74" spans="1:13" s="2" customFormat="1" ht="12.75" x14ac:dyDescent="0.2">
      <c r="A74" s="62"/>
      <c r="B74" s="62"/>
      <c r="C74" s="62"/>
      <c r="D74" s="79"/>
      <c r="E74" s="80"/>
      <c r="F74" s="36"/>
      <c r="G74" s="81"/>
      <c r="H74" s="62"/>
      <c r="I74" s="62"/>
      <c r="J74" s="62"/>
      <c r="K74" s="62"/>
      <c r="L74" s="40"/>
      <c r="M74" s="62"/>
    </row>
    <row r="75" spans="1:13" s="2" customFormat="1" ht="12.75" x14ac:dyDescent="0.2">
      <c r="A75" s="62"/>
      <c r="B75" s="62"/>
      <c r="C75" s="62"/>
      <c r="D75" s="79"/>
      <c r="E75" s="80"/>
      <c r="F75" s="36"/>
      <c r="G75" s="81"/>
      <c r="H75" s="62"/>
      <c r="I75" s="62"/>
      <c r="J75" s="62"/>
      <c r="K75" s="62"/>
      <c r="L75" s="40"/>
      <c r="M75" s="62"/>
    </row>
    <row r="76" spans="1:13" s="2" customFormat="1" ht="12.75" x14ac:dyDescent="0.2">
      <c r="A76" s="62"/>
      <c r="B76" s="62"/>
      <c r="C76" s="62"/>
      <c r="D76" s="79"/>
      <c r="E76" s="80"/>
      <c r="F76" s="36"/>
      <c r="G76" s="81"/>
      <c r="H76" s="62"/>
      <c r="I76" s="62"/>
      <c r="J76" s="62"/>
      <c r="K76" s="62"/>
      <c r="L76" s="40"/>
      <c r="M76" s="62"/>
    </row>
    <row r="77" spans="1:13" s="2" customFormat="1" ht="12.75" x14ac:dyDescent="0.2">
      <c r="A77" s="62"/>
      <c r="B77" s="62"/>
      <c r="C77" s="62"/>
      <c r="D77" s="79"/>
      <c r="E77" s="80"/>
      <c r="F77" s="36"/>
      <c r="G77" s="81"/>
      <c r="H77" s="62"/>
      <c r="I77" s="62"/>
      <c r="J77" s="62"/>
      <c r="K77" s="62"/>
      <c r="L77" s="40"/>
      <c r="M77" s="62"/>
    </row>
    <row r="78" spans="1:13" s="2" customFormat="1" ht="12.75" x14ac:dyDescent="0.2">
      <c r="A78" s="62"/>
      <c r="B78" s="62"/>
      <c r="C78" s="62"/>
      <c r="D78" s="79"/>
      <c r="E78" s="80"/>
      <c r="F78" s="36"/>
      <c r="G78" s="81"/>
      <c r="H78" s="62"/>
      <c r="I78" s="62"/>
      <c r="J78" s="62"/>
      <c r="K78" s="62"/>
      <c r="L78" s="40"/>
      <c r="M78" s="62"/>
    </row>
    <row r="79" spans="1:13" s="2" customFormat="1" ht="12.75" x14ac:dyDescent="0.2">
      <c r="A79" s="62"/>
      <c r="B79" s="62"/>
      <c r="C79" s="62"/>
      <c r="D79" s="79"/>
      <c r="E79" s="80"/>
      <c r="F79" s="36"/>
      <c r="G79" s="81"/>
      <c r="H79" s="62"/>
      <c r="I79" s="62"/>
      <c r="J79" s="62"/>
      <c r="K79" s="62"/>
      <c r="L79" s="40"/>
      <c r="M79" s="62"/>
    </row>
    <row r="80" spans="1:13" s="2" customFormat="1" ht="12.75" x14ac:dyDescent="0.2">
      <c r="A80" s="62"/>
      <c r="B80" s="62"/>
      <c r="C80" s="62"/>
      <c r="D80" s="79"/>
      <c r="E80" s="80"/>
      <c r="F80" s="36"/>
      <c r="G80" s="81"/>
      <c r="H80" s="62"/>
      <c r="I80" s="62"/>
      <c r="J80" s="62"/>
      <c r="K80" s="62"/>
      <c r="L80" s="40"/>
      <c r="M80" s="62"/>
    </row>
    <row r="81" spans="1:13" s="2" customFormat="1" ht="12.75" x14ac:dyDescent="0.2">
      <c r="A81" s="62"/>
      <c r="B81" s="62"/>
      <c r="C81" s="62"/>
      <c r="D81" s="79"/>
      <c r="E81" s="80"/>
      <c r="F81" s="36"/>
      <c r="G81" s="81"/>
      <c r="H81" s="62"/>
      <c r="I81" s="62"/>
      <c r="J81" s="62"/>
      <c r="K81" s="62"/>
      <c r="L81" s="40"/>
      <c r="M81" s="62"/>
    </row>
    <row r="82" spans="1:13" s="2" customFormat="1" ht="12.75" x14ac:dyDescent="0.2"/>
    <row r="83" spans="1:13" s="2" customFormat="1" ht="12.75" x14ac:dyDescent="0.2"/>
    <row r="85" spans="1:13" s="2" customFormat="1" ht="12.75" x14ac:dyDescent="0.2">
      <c r="A85" s="82"/>
      <c r="B85" s="82"/>
      <c r="E85" s="82"/>
      <c r="F85" s="82"/>
      <c r="G85" s="82"/>
      <c r="H85" s="83"/>
      <c r="M85" s="82"/>
    </row>
    <row r="86" spans="1:13" s="2" customFormat="1" ht="12.75" x14ac:dyDescent="0.2">
      <c r="A86" s="82"/>
      <c r="B86" s="82"/>
      <c r="E86" s="82"/>
      <c r="F86" s="82"/>
      <c r="G86" s="82"/>
      <c r="H86" s="83"/>
      <c r="M86" s="82"/>
    </row>
    <row r="87" spans="1:13" s="2" customFormat="1" ht="12.75" x14ac:dyDescent="0.2">
      <c r="A87" s="84"/>
      <c r="B87" s="84"/>
    </row>
    <row r="88" spans="1:13" s="2" customFormat="1" ht="12.75" x14ac:dyDescent="0.2">
      <c r="A88" s="85"/>
      <c r="B88" s="85"/>
      <c r="E88" s="85"/>
      <c r="F88" s="84"/>
      <c r="G88" s="84"/>
      <c r="M88" s="86"/>
    </row>
    <row r="89" spans="1:13" s="2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MH89"/>
  <sheetViews>
    <sheetView zoomScale="125" zoomScaleNormal="125" workbookViewId="0">
      <pane xSplit="2" topLeftCell="C1" activePane="topRight" state="frozen"/>
      <selection pane="topRight" activeCell="I4" sqref="I4"/>
    </sheetView>
  </sheetViews>
  <sheetFormatPr defaultColWidth="9.140625" defaultRowHeight="15" x14ac:dyDescent="0.25"/>
  <cols>
    <col min="1" max="2" width="15.140625" style="2" customWidth="1"/>
    <col min="3" max="3" width="29.28515625" style="2" customWidth="1"/>
    <col min="4" max="4" width="14.85546875" style="2" customWidth="1"/>
    <col min="5" max="5" width="27.42578125" style="2" customWidth="1"/>
    <col min="6" max="7" width="13.7109375" style="2" customWidth="1"/>
    <col min="8" max="8" width="16.5703125" style="2" customWidth="1"/>
    <col min="9" max="9" width="15.5703125" style="2" customWidth="1"/>
    <col min="10" max="10" width="13.42578125" customWidth="1"/>
    <col min="11" max="11" width="23.5703125" customWidth="1"/>
    <col min="12" max="12" width="13.42578125" customWidth="1"/>
    <col min="13" max="13" width="22.5703125" style="2" customWidth="1"/>
    <col min="14" max="16" width="10.85546875" style="2" customWidth="1"/>
    <col min="17" max="17" width="11.28515625" style="2" customWidth="1"/>
    <col min="18" max="1022" width="9.140625" style="2"/>
  </cols>
  <sheetData>
    <row r="1" spans="1:17" s="2" customFormat="1" ht="25.5" x14ac:dyDescent="0.2">
      <c r="A1" s="3"/>
      <c r="B1" s="3" t="s">
        <v>138</v>
      </c>
      <c r="C1" s="4">
        <v>44132</v>
      </c>
      <c r="D1" s="5"/>
      <c r="E1" s="6" t="s">
        <v>139</v>
      </c>
      <c r="F1" s="7"/>
      <c r="G1" s="8"/>
      <c r="K1" s="9" t="s">
        <v>140</v>
      </c>
      <c r="L1" s="9" t="s">
        <v>141</v>
      </c>
      <c r="M1" s="10" t="s">
        <v>142</v>
      </c>
    </row>
    <row r="2" spans="1:17" x14ac:dyDescent="0.25">
      <c r="A2" s="3"/>
      <c r="B2" s="3" t="s">
        <v>143</v>
      </c>
      <c r="C2" s="11">
        <v>7.468</v>
      </c>
      <c r="D2" s="12"/>
      <c r="E2" s="13">
        <f>SUM(E26,E41,E51,E67,E28,E69)</f>
        <v>143077005.958408</v>
      </c>
      <c r="F2" s="14"/>
      <c r="G2" s="15"/>
      <c r="H2" s="12"/>
      <c r="I2" s="12"/>
      <c r="J2" s="12"/>
      <c r="K2" s="13">
        <f>SUM(K26,K41,K51,K67,K28,K69:K69)</f>
        <v>142472984.2242364</v>
      </c>
      <c r="L2" s="16">
        <f>SUM(L51,L67,L41,L26,L28,L69)</f>
        <v>1.0000000000000004</v>
      </c>
      <c r="M2" s="17">
        <f>K2/$C$6</f>
        <v>7.436123167466266</v>
      </c>
      <c r="N2" s="18"/>
    </row>
    <row r="3" spans="1:17" ht="26.25" x14ac:dyDescent="0.25">
      <c r="A3" s="3"/>
      <c r="B3" s="3" t="s">
        <v>144</v>
      </c>
      <c r="C3" s="19">
        <v>19159578.32</v>
      </c>
      <c r="D3" s="20"/>
      <c r="E3" s="6" t="s">
        <v>145</v>
      </c>
      <c r="F3" s="14"/>
      <c r="G3" s="15"/>
      <c r="H3" s="12"/>
      <c r="I3" s="12"/>
      <c r="J3" s="12"/>
      <c r="K3" s="6" t="s">
        <v>145</v>
      </c>
      <c r="L3" s="12"/>
      <c r="M3" s="10" t="s">
        <v>146</v>
      </c>
      <c r="N3" s="21"/>
    </row>
    <row r="4" spans="1:17" x14ac:dyDescent="0.25">
      <c r="A4" s="3"/>
      <c r="B4" s="3" t="s">
        <v>147</v>
      </c>
      <c r="C4" s="19">
        <v>0</v>
      </c>
      <c r="D4" s="20"/>
      <c r="E4" s="13">
        <f>SUM(E26,E67,E28)</f>
        <v>28425729.398008835</v>
      </c>
      <c r="F4" s="14"/>
      <c r="G4" s="15"/>
      <c r="H4" s="12"/>
      <c r="I4" s="12"/>
      <c r="J4" s="12"/>
      <c r="K4" s="13">
        <f>SUM(K26,K28,K67)</f>
        <v>28495940.214406308</v>
      </c>
      <c r="L4" s="12"/>
      <c r="M4" s="17">
        <f>K4/$C$6</f>
        <v>1.4872947482701335</v>
      </c>
      <c r="N4" s="21"/>
    </row>
    <row r="5" spans="1:17" x14ac:dyDescent="0.25">
      <c r="A5" s="3"/>
      <c r="B5" s="3" t="s">
        <v>148</v>
      </c>
      <c r="C5" s="19">
        <v>0</v>
      </c>
      <c r="D5" s="20"/>
      <c r="E5" s="14"/>
      <c r="F5" s="14"/>
      <c r="G5" s="22">
        <f>SUM(D26,D28,D41,D51,D67,D69:D69)</f>
        <v>0.99995299999999998</v>
      </c>
      <c r="H5" s="12"/>
      <c r="I5" s="12"/>
      <c r="J5" s="12"/>
      <c r="K5" s="12"/>
      <c r="L5" s="12"/>
      <c r="M5" s="12"/>
      <c r="N5" s="21"/>
    </row>
    <row r="6" spans="1:17" x14ac:dyDescent="0.25">
      <c r="A6" s="3"/>
      <c r="B6" s="3" t="s">
        <v>149</v>
      </c>
      <c r="C6" s="19">
        <f>C3+C4-C5</f>
        <v>19159578.32</v>
      </c>
      <c r="D6" s="20"/>
      <c r="E6" s="14"/>
      <c r="F6" s="14"/>
      <c r="G6" s="15"/>
      <c r="H6" s="12"/>
      <c r="I6" s="12"/>
      <c r="J6" s="12"/>
      <c r="K6" s="12"/>
      <c r="L6" s="12"/>
      <c r="M6" s="12"/>
      <c r="N6" s="21"/>
    </row>
    <row r="7" spans="1:17" x14ac:dyDescent="0.25">
      <c r="A7" s="23"/>
      <c r="B7" s="24"/>
      <c r="C7" s="24"/>
      <c r="D7" s="25"/>
      <c r="E7" s="26"/>
      <c r="F7" s="26"/>
      <c r="G7" s="26"/>
      <c r="H7" s="27"/>
      <c r="I7" s="27"/>
      <c r="J7" s="27"/>
      <c r="K7" s="12"/>
      <c r="L7" s="12"/>
      <c r="M7" s="12"/>
      <c r="N7" s="21"/>
    </row>
    <row r="8" spans="1:17" s="32" customFormat="1" ht="38.25" x14ac:dyDescent="0.2">
      <c r="A8" s="28" t="s">
        <v>150</v>
      </c>
      <c r="B8" s="28" t="s">
        <v>151</v>
      </c>
      <c r="C8" s="29" t="s">
        <v>1</v>
      </c>
      <c r="D8" s="29" t="s">
        <v>152</v>
      </c>
      <c r="E8" s="29" t="s">
        <v>153</v>
      </c>
      <c r="F8" s="29" t="s">
        <v>154</v>
      </c>
      <c r="G8" s="29" t="s">
        <v>155</v>
      </c>
      <c r="H8" s="29" t="s">
        <v>156</v>
      </c>
      <c r="I8" s="29" t="s">
        <v>157</v>
      </c>
      <c r="J8" s="29" t="s">
        <v>158</v>
      </c>
      <c r="K8" s="30" t="s">
        <v>159</v>
      </c>
      <c r="L8" s="30" t="s">
        <v>160</v>
      </c>
      <c r="M8" s="30" t="s">
        <v>161</v>
      </c>
      <c r="N8" s="31"/>
      <c r="Q8" s="33"/>
    </row>
    <row r="9" spans="1:17" s="43" customFormat="1" ht="12.75" x14ac:dyDescent="0.25">
      <c r="A9" s="34" t="s">
        <v>162</v>
      </c>
      <c r="B9" s="34" t="s">
        <v>46</v>
      </c>
      <c r="C9" s="34" t="s">
        <v>47</v>
      </c>
      <c r="D9" s="35">
        <v>1.2992999999999999E-2</v>
      </c>
      <c r="E9" s="36">
        <f>'Oct 28'!$D9*$C$6*$C$2</f>
        <v>1859086.9155026237</v>
      </c>
      <c r="F9" s="36">
        <v>532.98996350364996</v>
      </c>
      <c r="G9" s="37">
        <f>'Oct 28'!$E9/'Oct 28'!$F9</f>
        <v>3488.0336269031686</v>
      </c>
      <c r="H9" s="34">
        <v>3288</v>
      </c>
      <c r="I9" s="34">
        <f>ROUND(Table1389584567991011121314456267891011121314151617181920213456789101112131415161718192021[[#This Row],[Target Quantity]],0)</f>
        <v>3488</v>
      </c>
      <c r="J9" s="38">
        <f t="shared" ref="J9:J24" si="0">I9-H9</f>
        <v>200</v>
      </c>
      <c r="K9" s="39">
        <f>'Oct 28'!$F9*'Oct 28'!$I9</f>
        <v>1859068.9927007311</v>
      </c>
      <c r="L9" s="40">
        <f>'Oct 28'!$K9/$K$2</f>
        <v>1.3048571999971351E-2</v>
      </c>
      <c r="M9" s="41"/>
      <c r="N9" s="42"/>
      <c r="O9" s="87"/>
    </row>
    <row r="10" spans="1:17" s="43" customFormat="1" ht="12.75" customHeight="1" x14ac:dyDescent="0.25">
      <c r="A10" s="34" t="s">
        <v>162</v>
      </c>
      <c r="B10" s="34" t="s">
        <v>55</v>
      </c>
      <c r="C10" s="34" t="s">
        <v>56</v>
      </c>
      <c r="D10" s="35">
        <v>1.2992999999999999E-2</v>
      </c>
      <c r="E10" s="36">
        <f>'Oct 28'!$D10*$C$6*$C$2</f>
        <v>1859086.9155026237</v>
      </c>
      <c r="F10" s="36">
        <v>418.2</v>
      </c>
      <c r="G10" s="37">
        <f>'Oct 28'!$E10/'Oct 28'!$F10</f>
        <v>4445.449343621769</v>
      </c>
      <c r="H10" s="34">
        <v>4140</v>
      </c>
      <c r="I10" s="34">
        <f>ROUND(Table1389584567991011121314456267891011121314151617181920213456789101112131415161718192021[[#This Row],[Target Quantity]],0)</f>
        <v>4445</v>
      </c>
      <c r="J10" s="38">
        <f t="shared" si="0"/>
        <v>305</v>
      </c>
      <c r="K10" s="39">
        <f>'Oct 28'!$F10*'Oct 28'!$I10</f>
        <v>1858899</v>
      </c>
      <c r="L10" s="40">
        <f>'Oct 28'!$K10/$K$2</f>
        <v>1.3047378842534124E-2</v>
      </c>
      <c r="M10" s="41"/>
    </row>
    <row r="11" spans="1:17" s="43" customFormat="1" ht="12.75" customHeight="1" x14ac:dyDescent="0.25">
      <c r="A11" s="34" t="s">
        <v>162</v>
      </c>
      <c r="B11" s="34" t="s">
        <v>37</v>
      </c>
      <c r="C11" s="34" t="s">
        <v>38</v>
      </c>
      <c r="D11" s="35">
        <v>1.2992999999999999E-2</v>
      </c>
      <c r="E11" s="36">
        <f>'Oct 28'!$D11*$C$6*$C$2</f>
        <v>1859086.9155026237</v>
      </c>
      <c r="F11" s="36">
        <v>82.469996237772804</v>
      </c>
      <c r="G11" s="37">
        <f>'Oct 28'!$E11/'Oct 28'!$F11</f>
        <v>22542.585186285323</v>
      </c>
      <c r="H11" s="34">
        <v>21264</v>
      </c>
      <c r="I11" s="34">
        <f>ROUND(Table1389584567991011121314456267891011121314151617181920213456789101112131415161718192021[[#This Row],[Target Quantity]],0)</f>
        <v>22543</v>
      </c>
      <c r="J11" s="38">
        <f t="shared" si="0"/>
        <v>1279</v>
      </c>
      <c r="K11" s="39">
        <f>'Oct 28'!$F11*'Oct 28'!$I11</f>
        <v>1859121.1251881123</v>
      </c>
      <c r="L11" s="40">
        <f>'Oct 28'!$K11/$K$2</f>
        <v>1.3048937911359148E-2</v>
      </c>
      <c r="M11" s="41"/>
    </row>
    <row r="12" spans="1:17" s="44" customFormat="1" ht="12.75" customHeight="1" x14ac:dyDescent="0.25">
      <c r="A12" s="34" t="s">
        <v>162</v>
      </c>
      <c r="B12" s="34" t="s">
        <v>23</v>
      </c>
      <c r="C12" s="34" t="s">
        <v>24</v>
      </c>
      <c r="D12" s="35">
        <v>1.2992999999999999E-2</v>
      </c>
      <c r="E12" s="36">
        <f>'Oct 28'!$D12*$C$6*$C$2</f>
        <v>1859086.9155026237</v>
      </c>
      <c r="F12" s="36">
        <v>221.99006116208</v>
      </c>
      <c r="G12" s="37">
        <f>'Oct 28'!$E12/'Oct 28'!$F12</f>
        <v>8374.640313942984</v>
      </c>
      <c r="H12" s="34">
        <v>7848</v>
      </c>
      <c r="I12" s="34">
        <f>ROUND(Table1389584567991011121314456267891011121314151617181920213456789101112131415161718192021[[#This Row],[Target Quantity]],0)</f>
        <v>8375</v>
      </c>
      <c r="J12" s="38">
        <f t="shared" si="0"/>
        <v>527</v>
      </c>
      <c r="K12" s="39">
        <f>'Oct 28'!$F12*'Oct 28'!$I12</f>
        <v>1859166.76223242</v>
      </c>
      <c r="L12" s="40">
        <f>'Oct 28'!$K12/$K$2</f>
        <v>1.3049258232047006E-2</v>
      </c>
      <c r="M12" s="34"/>
    </row>
    <row r="13" spans="1:17" s="44" customFormat="1" ht="12.75" customHeight="1" x14ac:dyDescent="0.25">
      <c r="A13" s="34" t="s">
        <v>162</v>
      </c>
      <c r="B13" s="34" t="s">
        <v>60</v>
      </c>
      <c r="C13" s="34" t="s">
        <v>61</v>
      </c>
      <c r="D13" s="35">
        <v>1.2992999999999999E-2</v>
      </c>
      <c r="E13" s="36">
        <f>'Oct 28'!$D13*$C$6*$C$2</f>
        <v>1859086.9155026237</v>
      </c>
      <c r="F13" s="36">
        <v>538.38009592326102</v>
      </c>
      <c r="G13" s="37">
        <f>'Oct 28'!$E13/'Oct 28'!$F13</f>
        <v>3453.1122706431033</v>
      </c>
      <c r="H13" s="34">
        <v>3336</v>
      </c>
      <c r="I13" s="34">
        <f>ROUND(Table1389584567991011121314456267891011121314151617181920213456789101112131415161718192021[[#This Row],[Target Quantity]],0)</f>
        <v>3453</v>
      </c>
      <c r="J13" s="38">
        <f t="shared" si="0"/>
        <v>117</v>
      </c>
      <c r="K13" s="39">
        <f>'Oct 28'!$F13*'Oct 28'!$I13</f>
        <v>1859026.4712230202</v>
      </c>
      <c r="L13" s="40">
        <f>'Oct 28'!$K13/$K$2</f>
        <v>1.3048273547054524E-2</v>
      </c>
      <c r="M13" s="34"/>
    </row>
    <row r="14" spans="1:17" s="44" customFormat="1" ht="12.75" customHeight="1" x14ac:dyDescent="0.25">
      <c r="A14" s="34" t="s">
        <v>162</v>
      </c>
      <c r="B14" s="34" t="s">
        <v>43</v>
      </c>
      <c r="C14" s="34" t="s">
        <v>44</v>
      </c>
      <c r="D14" s="35">
        <v>1.2992999999999999E-2</v>
      </c>
      <c r="E14" s="36">
        <f>'Oct 28'!$D14*$C$6*$C$2</f>
        <v>1859086.9155026237</v>
      </c>
      <c r="F14" s="36">
        <v>1282.4699777613</v>
      </c>
      <c r="G14" s="37">
        <f>'Oct 28'!$E14/'Oct 28'!$F14</f>
        <v>1449.6143751823925</v>
      </c>
      <c r="H14" s="34">
        <v>1349</v>
      </c>
      <c r="I14" s="34">
        <f>ROUND(Table1389584567991011121314456267891011121314151617181920213456789101112131415161718192021[[#This Row],[Target Quantity]],0)</f>
        <v>1450</v>
      </c>
      <c r="J14" s="38">
        <f t="shared" si="0"/>
        <v>101</v>
      </c>
      <c r="K14" s="39">
        <f>'Oct 28'!$F14*'Oct 28'!$I14</f>
        <v>1859581.4677538851</v>
      </c>
      <c r="L14" s="40">
        <f>'Oct 28'!$K14/$K$2</f>
        <v>1.305216899806853E-2</v>
      </c>
      <c r="M14" s="34"/>
    </row>
    <row r="15" spans="1:17" s="44" customFormat="1" ht="12.75" customHeight="1" x14ac:dyDescent="0.25">
      <c r="A15" s="34" t="s">
        <v>162</v>
      </c>
      <c r="B15" s="34" t="s">
        <v>28</v>
      </c>
      <c r="C15" s="34" t="s">
        <v>29</v>
      </c>
      <c r="D15" s="35">
        <v>1.2992999999999999E-2</v>
      </c>
      <c r="E15" s="36">
        <f>'Oct 28'!$D15*$C$6*$C$2</f>
        <v>1859086.9155026237</v>
      </c>
      <c r="F15" s="36">
        <v>274.41005460970098</v>
      </c>
      <c r="G15" s="37">
        <f>'Oct 28'!$E15/'Oct 28'!$F15</f>
        <v>6774.8498434098592</v>
      </c>
      <c r="H15" s="34">
        <v>6226</v>
      </c>
      <c r="I15" s="34">
        <f>ROUND(Table1389584567991011121314456267891011121314151617181920213456789101112131415161718192021[[#This Row],[Target Quantity]],0)</f>
        <v>6775</v>
      </c>
      <c r="J15" s="38">
        <f t="shared" si="0"/>
        <v>549</v>
      </c>
      <c r="K15" s="39">
        <f>'Oct 28'!$F15*'Oct 28'!$I15</f>
        <v>1859128.1199807241</v>
      </c>
      <c r="L15" s="40">
        <f>'Oct 28'!$K15/$K$2</f>
        <v>1.3048987006930845E-2</v>
      </c>
      <c r="M15" s="34"/>
    </row>
    <row r="16" spans="1:17" s="44" customFormat="1" ht="12.75" customHeight="1" x14ac:dyDescent="0.25">
      <c r="A16" s="34" t="s">
        <v>162</v>
      </c>
      <c r="B16" s="34" t="s">
        <v>19</v>
      </c>
      <c r="C16" s="34" t="s">
        <v>20</v>
      </c>
      <c r="D16" s="35">
        <v>9.7450000000000002E-3</v>
      </c>
      <c r="E16" s="36">
        <f>'Oct 28'!$D16*$C$6*$C$2</f>
        <v>1394350.9575596913</v>
      </c>
      <c r="F16" s="36">
        <v>1310.15011372252</v>
      </c>
      <c r="G16" s="37">
        <f>'Oct 28'!$E16/'Oct 28'!$F16</f>
        <v>1064.2680887901709</v>
      </c>
      <c r="H16" s="34">
        <v>1319</v>
      </c>
      <c r="I16" s="34">
        <f>ROUND(Table1389584567991011121314456267891011121314151617181920213456789101112131415161718192021[[#This Row],[Target Quantity]],0)</f>
        <v>1064</v>
      </c>
      <c r="J16" s="38">
        <f t="shared" si="0"/>
        <v>-255</v>
      </c>
      <c r="K16" s="39">
        <f>'Oct 28'!$F16*'Oct 28'!$I16</f>
        <v>1393999.7210007613</v>
      </c>
      <c r="L16" s="40">
        <f>'Oct 28'!$K16/$K$2</f>
        <v>9.7843091347533159E-3</v>
      </c>
      <c r="M16" s="34"/>
    </row>
    <row r="17" spans="1:15" s="44" customFormat="1" ht="12.75" customHeight="1" x14ac:dyDescent="0.25">
      <c r="A17" s="34" t="s">
        <v>162</v>
      </c>
      <c r="B17" s="34" t="s">
        <v>25</v>
      </c>
      <c r="C17" s="34" t="s">
        <v>26</v>
      </c>
      <c r="D17" s="35">
        <v>6.4970000000000002E-3</v>
      </c>
      <c r="E17" s="36">
        <f>'Oct 28'!$D17*$C$6*$C$2</f>
        <v>929614.99961675878</v>
      </c>
      <c r="F17" s="36">
        <v>17.450009863878499</v>
      </c>
      <c r="G17" s="37">
        <f>'Oct 28'!$E17/'Oct 28'!$F17</f>
        <v>53273.035767221016</v>
      </c>
      <c r="H17" s="34">
        <v>50690</v>
      </c>
      <c r="I17" s="34">
        <f>ROUND(Table1389584567991011121314456267891011121314151617181920213456789101112131415161718192021[[#This Row],[Target Quantity]],0)</f>
        <v>53273</v>
      </c>
      <c r="J17" s="38">
        <f t="shared" si="0"/>
        <v>2583</v>
      </c>
      <c r="K17" s="39">
        <f>'Oct 28'!$F17*'Oct 28'!$I17</f>
        <v>929614.37547839934</v>
      </c>
      <c r="L17" s="40">
        <f>'Oct 28'!$K17/$K$2</f>
        <v>6.5248466615628071E-3</v>
      </c>
      <c r="M17" s="34"/>
    </row>
    <row r="18" spans="1:15" s="44" customFormat="1" ht="12.75" customHeight="1" x14ac:dyDescent="0.25">
      <c r="A18" s="34" t="s">
        <v>162</v>
      </c>
      <c r="B18" s="34" t="s">
        <v>40</v>
      </c>
      <c r="C18" s="34" t="s">
        <v>41</v>
      </c>
      <c r="D18" s="35">
        <v>6.4970000000000002E-3</v>
      </c>
      <c r="E18" s="36">
        <f>'Oct 28'!$D18*$C$6*$C$2</f>
        <v>929614.99961675878</v>
      </c>
      <c r="F18" s="36">
        <v>33.200000000000003</v>
      </c>
      <c r="G18" s="37">
        <f>'Oct 28'!$E18/'Oct 28'!$F18</f>
        <v>28000.451795685502</v>
      </c>
      <c r="H18" s="34">
        <v>25300</v>
      </c>
      <c r="I18" s="34">
        <f>ROUND(Table1389584567991011121314456267891011121314151617181920213456789101112131415161718192021[[#This Row],[Target Quantity]],0)</f>
        <v>28000</v>
      </c>
      <c r="J18" s="38">
        <f t="shared" si="0"/>
        <v>2700</v>
      </c>
      <c r="K18" s="39">
        <f>'Oct 28'!$F18*'Oct 28'!$I18</f>
        <v>929600.00000000012</v>
      </c>
      <c r="L18" s="40">
        <f>'Oct 28'!$K18/$K$2</f>
        <v>6.5247457618836328E-3</v>
      </c>
      <c r="M18" s="34"/>
    </row>
    <row r="19" spans="1:15" s="44" customFormat="1" ht="12.75" customHeight="1" x14ac:dyDescent="0.25">
      <c r="A19" s="34" t="s">
        <v>162</v>
      </c>
      <c r="B19" s="34" t="s">
        <v>11</v>
      </c>
      <c r="C19" s="34" t="s">
        <v>12</v>
      </c>
      <c r="D19" s="35">
        <v>9.7450000000000002E-3</v>
      </c>
      <c r="E19" s="36">
        <f>'Oct 28'!$D19*$C$6*$C$2</f>
        <v>1394350.9575596913</v>
      </c>
      <c r="F19" s="36">
        <v>455.08990536277599</v>
      </c>
      <c r="G19" s="37">
        <f>'Oct 28'!$E19/'Oct 28'!$F19</f>
        <v>3063.9021897182738</v>
      </c>
      <c r="H19" s="34">
        <v>1902</v>
      </c>
      <c r="I19" s="34">
        <f>ROUND(Table1389584567991011121314456267891011121314151617181920213456789101112131415161718192021[[#This Row],[Target Quantity]],0)</f>
        <v>3064</v>
      </c>
      <c r="J19" s="38">
        <f t="shared" si="0"/>
        <v>1162</v>
      </c>
      <c r="K19" s="39">
        <f>'Oct 28'!$F19*'Oct 28'!$I19</f>
        <v>1394395.4700315457</v>
      </c>
      <c r="L19" s="40">
        <f>'Oct 28'!$K19/$K$2</f>
        <v>9.7870868475452479E-3</v>
      </c>
      <c r="M19" s="34"/>
    </row>
    <row r="20" spans="1:15" s="44" customFormat="1" ht="12.75" customHeight="1" x14ac:dyDescent="0.25">
      <c r="A20" s="34" t="s">
        <v>162</v>
      </c>
      <c r="B20" s="34" t="s">
        <v>52</v>
      </c>
      <c r="C20" s="34" t="s">
        <v>53</v>
      </c>
      <c r="D20" s="35">
        <v>1.2992999999999999E-2</v>
      </c>
      <c r="E20" s="36">
        <f>'Oct 28'!$D20*$C$6*$C$2</f>
        <v>1859086.9155026237</v>
      </c>
      <c r="F20" s="36">
        <v>198</v>
      </c>
      <c r="G20" s="37">
        <f>'Oct 28'!$E20/'Oct 28'!$F20</f>
        <v>9389.3278560738563</v>
      </c>
      <c r="H20" s="34">
        <v>8764</v>
      </c>
      <c r="I20" s="34">
        <f>ROUND(Table1389584567991011121314456267891011121314151617181920213456789101112131415161718192021[[#This Row],[Target Quantity]],0)</f>
        <v>9389</v>
      </c>
      <c r="J20" s="38">
        <f t="shared" si="0"/>
        <v>625</v>
      </c>
      <c r="K20" s="39">
        <f>'Oct 28'!$F20*'Oct 28'!$I20</f>
        <v>1859022</v>
      </c>
      <c r="L20" s="40">
        <f>'Oct 28'!$K20/$K$2</f>
        <v>1.3048242164101154E-2</v>
      </c>
      <c r="M20" s="34"/>
    </row>
    <row r="21" spans="1:15" s="44" customFormat="1" ht="12.75" customHeight="1" x14ac:dyDescent="0.25">
      <c r="A21" s="34" t="s">
        <v>162</v>
      </c>
      <c r="B21" s="34" t="s">
        <v>31</v>
      </c>
      <c r="C21" s="34" t="s">
        <v>32</v>
      </c>
      <c r="D21" s="35">
        <v>6.4970000000000002E-3</v>
      </c>
      <c r="E21" s="36">
        <f>'Oct 28'!$D21*$C$6*$C$2</f>
        <v>929614.99961675878</v>
      </c>
      <c r="F21" s="36">
        <v>20</v>
      </c>
      <c r="G21" s="37">
        <f>'Oct 28'!$E21/'Oct 28'!$F21</f>
        <v>46480.749980837936</v>
      </c>
      <c r="H21" s="34">
        <v>41955</v>
      </c>
      <c r="I21" s="34">
        <f>ROUND(Table1389584567991011121314456267891011121314151617181920213456789101112131415161718192021[[#This Row],[Target Quantity]],0)</f>
        <v>46481</v>
      </c>
      <c r="J21" s="38">
        <f t="shared" si="0"/>
        <v>4526</v>
      </c>
      <c r="K21" s="39">
        <f>'Oct 28'!$F21*'Oct 28'!$I21</f>
        <v>929620</v>
      </c>
      <c r="L21" s="40">
        <f>'Oct 28'!$K21/$K$2</f>
        <v>6.5248861393742063E-3</v>
      </c>
      <c r="M21" s="34"/>
    </row>
    <row r="22" spans="1:15" s="44" customFormat="1" ht="12.75" customHeight="1" x14ac:dyDescent="0.25">
      <c r="A22" s="34" t="s">
        <v>162</v>
      </c>
      <c r="B22" s="34" t="s">
        <v>16</v>
      </c>
      <c r="C22" s="34" t="s">
        <v>17</v>
      </c>
      <c r="D22" s="35">
        <v>1.2933999999999999E-2</v>
      </c>
      <c r="E22" s="36">
        <f>'Oct 28'!$D22*$C$6*$C$2</f>
        <v>1850644.9753798919</v>
      </c>
      <c r="F22" s="36">
        <v>33.600007800920501</v>
      </c>
      <c r="G22" s="37">
        <f>'Oct 28'!$E22/'Oct 28'!$F22</f>
        <v>55078.706717716654</v>
      </c>
      <c r="H22" s="34">
        <v>51276</v>
      </c>
      <c r="I22" s="34">
        <f>ROUND(Table1389584567991011121314456267891011121314151617181920213456789101112131415161718192021[[#This Row],[Target Quantity]],0)</f>
        <v>55079</v>
      </c>
      <c r="J22" s="38">
        <f t="shared" si="0"/>
        <v>3803</v>
      </c>
      <c r="K22" s="39">
        <f>'Oct 28'!$F22*'Oct 28'!$I22</f>
        <v>1850654.8296669002</v>
      </c>
      <c r="L22" s="40">
        <f>'Oct 28'!$K22/$K$2</f>
        <v>1.2989514045372829E-2</v>
      </c>
      <c r="M22" s="34"/>
    </row>
    <row r="23" spans="1:15" s="44" customFormat="1" ht="12.75" customHeight="1" x14ac:dyDescent="0.25">
      <c r="A23" s="34" t="s">
        <v>162</v>
      </c>
      <c r="B23" s="34" t="s">
        <v>57</v>
      </c>
      <c r="C23" s="34" t="s">
        <v>58</v>
      </c>
      <c r="D23" s="35">
        <v>6.4970000000000002E-3</v>
      </c>
      <c r="E23" s="36">
        <f>'Oct 28'!$D23*$C$6*$C$2</f>
        <v>929614.99961675878</v>
      </c>
      <c r="F23" s="36">
        <v>195.81993713515899</v>
      </c>
      <c r="G23" s="37">
        <f>'Oct 28'!$E23/'Oct 28'!$F23</f>
        <v>4747.2949548294418</v>
      </c>
      <c r="H23" s="34">
        <v>4454</v>
      </c>
      <c r="I23" s="34">
        <f>ROUND(Table1389584567991011121314456267891011121314151617181920213456789101112131415161718192021[[#This Row],[Target Quantity]],0)</f>
        <v>4747</v>
      </c>
      <c r="J23" s="38">
        <f t="shared" si="0"/>
        <v>293</v>
      </c>
      <c r="K23" s="39">
        <f>'Oct 28'!$F23*'Oct 28'!$I23</f>
        <v>929557.2415805998</v>
      </c>
      <c r="L23" s="40">
        <f>'Oct 28'!$K23/$K$2</f>
        <v>6.5244456459028159E-3</v>
      </c>
      <c r="M23" s="34"/>
    </row>
    <row r="24" spans="1:15" s="44" customFormat="1" ht="12.75" customHeight="1" x14ac:dyDescent="0.25">
      <c r="A24" s="34" t="s">
        <v>162</v>
      </c>
      <c r="B24" s="34" t="s">
        <v>49</v>
      </c>
      <c r="C24" s="34" t="s">
        <v>50</v>
      </c>
      <c r="D24" s="35">
        <v>6.4970000000000002E-3</v>
      </c>
      <c r="E24" s="36">
        <f>'Oct 28'!$D24*$C$6*$C$2</f>
        <v>929614.99961675878</v>
      </c>
      <c r="F24" s="36">
        <v>60.770019807583502</v>
      </c>
      <c r="G24" s="37">
        <f>'Oct 28'!$E24/'Oct 28'!$F24</f>
        <v>15297.263396658494</v>
      </c>
      <c r="H24" s="34">
        <v>14136</v>
      </c>
      <c r="I24" s="34">
        <f>ROUND(Table1389584567991011121314456267891011121314151617181920213456789101112131415161718192021[[#This Row],[Target Quantity]],0)</f>
        <v>15297</v>
      </c>
      <c r="J24" s="38">
        <f t="shared" si="0"/>
        <v>1161</v>
      </c>
      <c r="K24" s="39">
        <f>'Oct 28'!$F24*'Oct 28'!$I24</f>
        <v>929598.99299660488</v>
      </c>
      <c r="L24" s="40">
        <f>'Oct 28'!$K24/$K$2</f>
        <v>6.5247386938531516E-3</v>
      </c>
      <c r="M24" s="34"/>
    </row>
    <row r="25" spans="1:15" s="44" customFormat="1" ht="12.75" customHeight="1" x14ac:dyDescent="0.25">
      <c r="A25" s="34"/>
      <c r="B25" s="34"/>
      <c r="C25" s="34"/>
      <c r="D25" s="35"/>
      <c r="E25" s="36"/>
      <c r="F25" s="36"/>
      <c r="G25" s="37"/>
      <c r="H25" s="34"/>
      <c r="I25" s="34"/>
      <c r="J25" s="45"/>
      <c r="K25" s="36"/>
      <c r="L25" s="46"/>
      <c r="M25" s="34"/>
    </row>
    <row r="26" spans="1:15" s="53" customFormat="1" ht="12.75" customHeight="1" x14ac:dyDescent="0.25">
      <c r="A26" s="47" t="s">
        <v>175</v>
      </c>
      <c r="B26" s="47"/>
      <c r="C26" s="47"/>
      <c r="D26" s="48">
        <f>SUM(D9:D25)</f>
        <v>0.16885300000000003</v>
      </c>
      <c r="E26" s="49">
        <f>'Oct 28'!$D26*$C$6*$C$2</f>
        <v>24160117.212604061</v>
      </c>
      <c r="F26" s="50"/>
      <c r="G26" s="50"/>
      <c r="H26" s="47"/>
      <c r="I26" s="47"/>
      <c r="J26" s="51"/>
      <c r="K26" s="49">
        <f>SUM(K9:K25)</f>
        <v>24160054.569833703</v>
      </c>
      <c r="L26" s="52">
        <f>'Oct 28'!$K26/$K$2</f>
        <v>0.16957639163231469</v>
      </c>
      <c r="M26" s="47"/>
    </row>
    <row r="27" spans="1:15" s="44" customFormat="1" ht="12.75" customHeight="1" x14ac:dyDescent="0.25">
      <c r="A27" s="34"/>
      <c r="B27" s="34"/>
      <c r="C27" s="34"/>
      <c r="D27" s="35"/>
      <c r="E27" s="36"/>
      <c r="F27" s="36"/>
      <c r="G27" s="37"/>
      <c r="H27" s="34"/>
      <c r="I27" s="34"/>
      <c r="J27" s="45"/>
      <c r="K27" s="36"/>
      <c r="L27" s="40"/>
      <c r="M27" s="34"/>
    </row>
    <row r="28" spans="1:15" s="43" customFormat="1" ht="12.75" customHeight="1" x14ac:dyDescent="0.25">
      <c r="A28" s="54"/>
      <c r="B28" s="47" t="s">
        <v>34</v>
      </c>
      <c r="C28" s="54" t="s">
        <v>35</v>
      </c>
      <c r="D28" s="55">
        <v>1.9872000000000001E-2</v>
      </c>
      <c r="E28" s="56">
        <f>'Oct 28'!$D28*$C$6*$C$2</f>
        <v>2843359.9003207986</v>
      </c>
      <c r="F28" s="50">
        <v>18.150001029237199</v>
      </c>
      <c r="G28" s="57">
        <f>'Oct 28'!$E28/'Oct 28'!$F28</f>
        <v>156658.93879237419</v>
      </c>
      <c r="H28" s="54">
        <v>145739</v>
      </c>
      <c r="I28" s="54">
        <f>ROUND(Table1389584567991011121314456267891011121314151617181920213456789101112131415161718192021[[#This Row],[Target Quantity]],0)</f>
        <v>156659</v>
      </c>
      <c r="J28" s="58">
        <f>I28-H28</f>
        <v>10920</v>
      </c>
      <c r="K28" s="59">
        <f>'Oct 28'!$F28*'Oct 28'!$I28</f>
        <v>2843361.0112392702</v>
      </c>
      <c r="L28" s="52">
        <f>'Oct 28'!$K28/$K$2</f>
        <v>1.9957194177698565E-2</v>
      </c>
      <c r="M28" s="47"/>
      <c r="O28" s="42"/>
    </row>
    <row r="29" spans="1:15" s="43" customFormat="1" ht="12.75" customHeight="1" x14ac:dyDescent="0.25">
      <c r="A29" s="34"/>
      <c r="B29" s="34"/>
      <c r="C29" s="34"/>
      <c r="D29" s="35"/>
      <c r="E29" s="36"/>
      <c r="F29" s="36"/>
      <c r="G29" s="37"/>
      <c r="H29" s="34"/>
      <c r="I29" s="34"/>
      <c r="J29" s="45"/>
      <c r="K29" s="39"/>
      <c r="L29" s="40"/>
      <c r="M29" s="34"/>
      <c r="O29" s="42"/>
    </row>
    <row r="30" spans="1:15" s="2" customFormat="1" ht="25.5" x14ac:dyDescent="0.2">
      <c r="A30" s="34" t="s">
        <v>176</v>
      </c>
      <c r="B30" s="60" t="s">
        <v>109</v>
      </c>
      <c r="C30" s="61" t="s">
        <v>110</v>
      </c>
      <c r="D30" s="35">
        <v>2.9808000000000001E-2</v>
      </c>
      <c r="E30" s="36">
        <f>'Oct 28'!$D30*$C$6*$C$2</f>
        <v>4265039.8504811982</v>
      </c>
      <c r="F30" s="36">
        <v>158755.68</v>
      </c>
      <c r="G30" s="37">
        <f>'Oct 28'!$E30/'Oct 28'!$F30</f>
        <v>26.865431526488994</v>
      </c>
      <c r="H30" s="34">
        <v>25</v>
      </c>
      <c r="I30" s="34">
        <v>27</v>
      </c>
      <c r="J30" s="38">
        <f t="shared" ref="J30:J39" si="1">I30-H30</f>
        <v>2</v>
      </c>
      <c r="K30" s="39">
        <f>'Oct 28'!$F30*'Oct 28'!$I30</f>
        <v>4286403.3599999994</v>
      </c>
      <c r="L30" s="40">
        <f>'Oct 28'!$K30/$K$2</f>
        <v>3.0085727363257053E-2</v>
      </c>
      <c r="M30" s="62"/>
    </row>
    <row r="31" spans="1:15" s="2" customFormat="1" ht="25.5" x14ac:dyDescent="0.2">
      <c r="A31" s="34" t="s">
        <v>176</v>
      </c>
      <c r="B31" s="60" t="s">
        <v>115</v>
      </c>
      <c r="C31" s="61" t="s">
        <v>116</v>
      </c>
      <c r="D31" s="35">
        <v>2.9808000000000001E-2</v>
      </c>
      <c r="E31" s="36">
        <f>'Oct 28'!$D31*$C$6*$C$2</f>
        <v>4265039.8504811982</v>
      </c>
      <c r="F31" s="36">
        <v>218742.055555556</v>
      </c>
      <c r="G31" s="37">
        <f>'Oct 28'!$E31/'Oct 28'!$F31</f>
        <v>19.49803314981634</v>
      </c>
      <c r="H31" s="34">
        <v>18</v>
      </c>
      <c r="I31" s="34">
        <v>19</v>
      </c>
      <c r="J31" s="38">
        <f t="shared" si="1"/>
        <v>1</v>
      </c>
      <c r="K31" s="39">
        <f>'Oct 28'!$F31*'Oct 28'!$I31</f>
        <v>4156099.0555555639</v>
      </c>
      <c r="L31" s="40">
        <f>'Oct 28'!$K31/$K$2</f>
        <v>2.9171137799811456E-2</v>
      </c>
      <c r="M31" s="62"/>
    </row>
    <row r="32" spans="1:15" s="2" customFormat="1" ht="25.5" x14ac:dyDescent="0.2">
      <c r="A32" s="34" t="s">
        <v>176</v>
      </c>
      <c r="B32" s="60" t="s">
        <v>121</v>
      </c>
      <c r="C32" s="61" t="s">
        <v>122</v>
      </c>
      <c r="D32" s="35">
        <v>2.9808000000000001E-2</v>
      </c>
      <c r="E32" s="36">
        <f>'Oct 28'!$D32*$C$6*$C$2</f>
        <v>4265039.8504811982</v>
      </c>
      <c r="F32" s="36">
        <v>174604.26086956501</v>
      </c>
      <c r="G32" s="37">
        <f>'Oct 28'!$E32/'Oct 28'!$F32</f>
        <v>24.426894448282219</v>
      </c>
      <c r="H32" s="34">
        <v>23</v>
      </c>
      <c r="I32" s="34">
        <v>24</v>
      </c>
      <c r="J32" s="38">
        <f t="shared" si="1"/>
        <v>1</v>
      </c>
      <c r="K32" s="39">
        <f>'Oct 28'!$F32*'Oct 28'!$I32</f>
        <v>4190502.2608695603</v>
      </c>
      <c r="L32" s="40">
        <f>'Oct 28'!$K32/$K$2</f>
        <v>2.9412609581295657E-2</v>
      </c>
      <c r="M32" s="62"/>
    </row>
    <row r="33" spans="1:13" s="2" customFormat="1" ht="25.5" x14ac:dyDescent="0.2">
      <c r="A33" s="34" t="s">
        <v>176</v>
      </c>
      <c r="B33" s="60" t="s">
        <v>124</v>
      </c>
      <c r="C33" s="61" t="s">
        <v>125</v>
      </c>
      <c r="D33" s="35">
        <v>2.9808000000000001E-2</v>
      </c>
      <c r="E33" s="36">
        <f>'Oct 28'!$D33*$C$6*$C$2</f>
        <v>4265039.8504811982</v>
      </c>
      <c r="F33" s="36">
        <v>125807.5625</v>
      </c>
      <c r="G33" s="37">
        <f>'Oct 28'!$E33/'Oct 28'!$F33</f>
        <v>33.901299458696677</v>
      </c>
      <c r="H33" s="34">
        <v>32</v>
      </c>
      <c r="I33" s="34">
        <v>34</v>
      </c>
      <c r="J33" s="38">
        <f t="shared" si="1"/>
        <v>2</v>
      </c>
      <c r="K33" s="39">
        <f>'Oct 28'!$F33*'Oct 28'!$I33</f>
        <v>4277457.125</v>
      </c>
      <c r="L33" s="40">
        <f>'Oct 28'!$K33/$K$2</f>
        <v>3.0022934862287753E-2</v>
      </c>
      <c r="M33" s="62"/>
    </row>
    <row r="34" spans="1:13" s="2" customFormat="1" ht="25.5" x14ac:dyDescent="0.2">
      <c r="A34" s="34" t="s">
        <v>176</v>
      </c>
      <c r="B34" s="60" t="s">
        <v>127</v>
      </c>
      <c r="C34" s="61" t="s">
        <v>128</v>
      </c>
      <c r="D34" s="35">
        <v>2.9808000000000001E-2</v>
      </c>
      <c r="E34" s="36">
        <f>'Oct 28'!$D34*$C$6*$C$2</f>
        <v>4265039.8504811982</v>
      </c>
      <c r="F34" s="36">
        <v>138968.75862069</v>
      </c>
      <c r="G34" s="37">
        <f>'Oct 28'!$E34/'Oct 28'!$F34</f>
        <v>30.690637901734906</v>
      </c>
      <c r="H34" s="34">
        <v>29</v>
      </c>
      <c r="I34" s="34">
        <v>31</v>
      </c>
      <c r="J34" s="38">
        <f t="shared" si="1"/>
        <v>2</v>
      </c>
      <c r="K34" s="39">
        <f>'Oct 28'!$F34*'Oct 28'!$I34</f>
        <v>4308031.5172413904</v>
      </c>
      <c r="L34" s="40">
        <f>'Oct 28'!$K34/$K$2</f>
        <v>3.0237532685221467E-2</v>
      </c>
      <c r="M34" s="62"/>
    </row>
    <row r="35" spans="1:13" s="2" customFormat="1" ht="25.5" x14ac:dyDescent="0.2">
      <c r="A35" s="34" t="s">
        <v>176</v>
      </c>
      <c r="B35" s="60" t="s">
        <v>135</v>
      </c>
      <c r="C35" s="61" t="s">
        <v>136</v>
      </c>
      <c r="D35" s="35">
        <v>2.9808000000000001E-2</v>
      </c>
      <c r="E35" s="36">
        <f>'Oct 28'!$D35*$C$6*$C$2</f>
        <v>4265039.8504811982</v>
      </c>
      <c r="F35" s="36">
        <v>220856.944444444</v>
      </c>
      <c r="G35" s="37">
        <f>'Oct 28'!$E35/'Oct 28'!$F35</f>
        <v>19.311323269502434</v>
      </c>
      <c r="H35" s="34">
        <v>18</v>
      </c>
      <c r="I35" s="34">
        <v>19</v>
      </c>
      <c r="J35" s="38">
        <f t="shared" si="1"/>
        <v>1</v>
      </c>
      <c r="K35" s="39">
        <f>'Oct 28'!$F35*'Oct 28'!$I35</f>
        <v>4196281.9444444356</v>
      </c>
      <c r="L35" s="40">
        <f>'Oct 28'!$K35/$K$2</f>
        <v>2.9453176455123319E-2</v>
      </c>
      <c r="M35" s="62"/>
    </row>
    <row r="36" spans="1:13" s="43" customFormat="1" ht="25.5" customHeight="1" x14ac:dyDescent="0.25">
      <c r="A36" s="34" t="s">
        <v>177</v>
      </c>
      <c r="B36" s="34" t="s">
        <v>76</v>
      </c>
      <c r="C36" s="34" t="s">
        <v>77</v>
      </c>
      <c r="D36" s="35">
        <v>2.9808000000000001E-2</v>
      </c>
      <c r="E36" s="36">
        <f>'Oct 28'!$D36*$C$6*$C$2</f>
        <v>4265039.8504811982</v>
      </c>
      <c r="F36" s="36">
        <v>114822.342857143</v>
      </c>
      <c r="G36" s="37">
        <f>'Oct 28'!$E36/'Oct 28'!$F36</f>
        <v>37.144685819445236</v>
      </c>
      <c r="H36" s="34">
        <v>35</v>
      </c>
      <c r="I36" s="34">
        <v>37</v>
      </c>
      <c r="J36" s="38">
        <f t="shared" si="1"/>
        <v>2</v>
      </c>
      <c r="K36" s="39">
        <f>'Oct 28'!$F36*'Oct 28'!$I36</f>
        <v>4248426.6857142905</v>
      </c>
      <c r="L36" s="40">
        <f>'Oct 28'!$K36/$K$2</f>
        <v>2.9819173851428186E-2</v>
      </c>
      <c r="M36" s="41"/>
    </row>
    <row r="37" spans="1:13" s="43" customFormat="1" ht="25.5" x14ac:dyDescent="0.25">
      <c r="A37" s="34" t="s">
        <v>177</v>
      </c>
      <c r="B37" s="34" t="s">
        <v>71</v>
      </c>
      <c r="C37" s="34" t="s">
        <v>72</v>
      </c>
      <c r="D37" s="35">
        <v>2.9808000000000001E-2</v>
      </c>
      <c r="E37" s="36">
        <f>'Oct 28'!$D37*$C$6*$C$2</f>
        <v>4265039.8504811982</v>
      </c>
      <c r="F37" s="36">
        <v>133633.1</v>
      </c>
      <c r="G37" s="37">
        <f>'Oct 28'!$E37/'Oct 28'!$F37</f>
        <v>31.916043633509947</v>
      </c>
      <c r="H37" s="34">
        <v>30</v>
      </c>
      <c r="I37" s="34">
        <v>32</v>
      </c>
      <c r="J37" s="38">
        <f t="shared" si="1"/>
        <v>2</v>
      </c>
      <c r="K37" s="39">
        <f>'Oct 28'!$F37*'Oct 28'!$I37</f>
        <v>4276259.2</v>
      </c>
      <c r="L37" s="40">
        <f>'Oct 28'!$K37/$K$2</f>
        <v>3.0014526777017957E-2</v>
      </c>
      <c r="M37" s="41"/>
    </row>
    <row r="38" spans="1:13" s="43" customFormat="1" ht="25.5" x14ac:dyDescent="0.25">
      <c r="A38" s="34" t="s">
        <v>177</v>
      </c>
      <c r="B38" s="34" t="s">
        <v>67</v>
      </c>
      <c r="C38" s="34" t="s">
        <v>68</v>
      </c>
      <c r="D38" s="35">
        <v>2.9808000000000001E-2</v>
      </c>
      <c r="E38" s="36">
        <f>'Oct 28'!$D38*$C$6*$C$2</f>
        <v>4265039.8504811982</v>
      </c>
      <c r="F38" s="36">
        <v>175364.43478260899</v>
      </c>
      <c r="G38" s="37">
        <f>'Oct 28'!$E38/'Oct 28'!$F38</f>
        <v>24.321008166612383</v>
      </c>
      <c r="H38" s="34">
        <v>23</v>
      </c>
      <c r="I38" s="34">
        <v>24</v>
      </c>
      <c r="J38" s="38">
        <f t="shared" si="1"/>
        <v>1</v>
      </c>
      <c r="K38" s="39">
        <f>'Oct 28'!$F38*'Oct 28'!$I38</f>
        <v>4208746.4347826159</v>
      </c>
      <c r="L38" s="40">
        <f>'Oct 28'!$K38/$K$2</f>
        <v>2.9540663148871254E-2</v>
      </c>
      <c r="M38" s="41"/>
    </row>
    <row r="39" spans="1:13" s="43" customFormat="1" ht="25.5" x14ac:dyDescent="0.25">
      <c r="A39" s="34" t="s">
        <v>177</v>
      </c>
      <c r="B39" s="34" t="s">
        <v>80</v>
      </c>
      <c r="C39" s="34" t="s">
        <v>81</v>
      </c>
      <c r="D39" s="35">
        <v>2.9808000000000001E-2</v>
      </c>
      <c r="E39" s="36">
        <f>'Oct 28'!$D39*$C$6*$C$2</f>
        <v>4265039.8504811982</v>
      </c>
      <c r="F39" s="36">
        <v>269326.40000000002</v>
      </c>
      <c r="G39" s="37">
        <f>'Oct 28'!$E39/'Oct 28'!$F39</f>
        <v>15.835951657472858</v>
      </c>
      <c r="H39" s="34">
        <v>15</v>
      </c>
      <c r="I39" s="34">
        <v>16</v>
      </c>
      <c r="J39" s="38">
        <f t="shared" si="1"/>
        <v>1</v>
      </c>
      <c r="K39" s="39">
        <f>'Oct 28'!$F39*'Oct 28'!$I39</f>
        <v>4309222.4000000004</v>
      </c>
      <c r="L39" s="40">
        <f>'Oct 28'!$K39/$K$2</f>
        <v>3.0245891341882547E-2</v>
      </c>
      <c r="M39" s="41"/>
    </row>
    <row r="40" spans="1:13" s="64" customFormat="1" ht="12.75" x14ac:dyDescent="0.2">
      <c r="A40" s="34"/>
      <c r="B40" s="61"/>
      <c r="C40" s="61"/>
      <c r="D40" s="35"/>
      <c r="E40" s="63"/>
      <c r="F40" s="36"/>
      <c r="G40" s="37"/>
      <c r="H40" s="34"/>
      <c r="I40" s="34"/>
      <c r="J40" s="45"/>
      <c r="K40" s="36"/>
      <c r="L40" s="46"/>
      <c r="M40" s="62"/>
    </row>
    <row r="41" spans="1:13" s="15" customFormat="1" ht="12.75" x14ac:dyDescent="0.2">
      <c r="A41" s="47" t="s">
        <v>182</v>
      </c>
      <c r="B41" s="65"/>
      <c r="C41" s="65"/>
      <c r="D41" s="55">
        <f>SUBTOTAL(9,D30:D40)</f>
        <v>0.29808000000000001</v>
      </c>
      <c r="E41" s="66">
        <f>'Oct 28'!$D41*$C$6*$C$2</f>
        <v>42650398.504811987</v>
      </c>
      <c r="F41" s="67"/>
      <c r="G41" s="68"/>
      <c r="H41" s="54"/>
      <c r="I41" s="54"/>
      <c r="J41" s="58"/>
      <c r="K41" s="66">
        <f>SUM(K30:K40)</f>
        <v>42457429.983607851</v>
      </c>
      <c r="L41" s="69">
        <f>'Oct 28'!$K41/$K$2</f>
        <v>0.29800337386619663</v>
      </c>
      <c r="M41" s="70"/>
    </row>
    <row r="42" spans="1:13" s="64" customFormat="1" ht="12.75" x14ac:dyDescent="0.2">
      <c r="A42" s="34"/>
      <c r="B42" s="61"/>
      <c r="C42" s="61"/>
      <c r="D42" s="35"/>
      <c r="E42" s="63"/>
      <c r="F42" s="36"/>
      <c r="G42" s="37"/>
      <c r="H42" s="34"/>
      <c r="I42" s="34"/>
      <c r="J42" s="45"/>
      <c r="K42" s="36"/>
      <c r="L42" s="40"/>
      <c r="M42" s="62"/>
    </row>
    <row r="43" spans="1:13" s="2" customFormat="1" ht="24.75" customHeight="1" x14ac:dyDescent="0.2">
      <c r="A43" s="34" t="s">
        <v>176</v>
      </c>
      <c r="B43" s="61" t="s">
        <v>183</v>
      </c>
      <c r="C43" s="61" t="s">
        <v>131</v>
      </c>
      <c r="D43" s="35">
        <v>0.1</v>
      </c>
      <c r="E43" s="36">
        <f>'Oct 28'!$D43*$C$6*$C$2</f>
        <v>14308373.089376001</v>
      </c>
      <c r="F43" s="36">
        <v>416330.8125</v>
      </c>
      <c r="G43" s="37">
        <f>'Oct 28'!$E43/'Oct 28'!$F43</f>
        <v>34.367797577739935</v>
      </c>
      <c r="H43" s="34">
        <v>32</v>
      </c>
      <c r="I43" s="34">
        <v>34</v>
      </c>
      <c r="J43" s="38">
        <f t="shared" ref="J43:J49" si="2">I43-H43</f>
        <v>2</v>
      </c>
      <c r="K43" s="39">
        <f>'Oct 28'!$F43*'Oct 28'!$I43</f>
        <v>14155247.625</v>
      </c>
      <c r="L43" s="40">
        <f>'Oct 28'!$K43/$K$2</f>
        <v>9.9353907002616287E-2</v>
      </c>
      <c r="M43" s="62"/>
    </row>
    <row r="44" spans="1:13" s="43" customFormat="1" ht="25.5" x14ac:dyDescent="0.25">
      <c r="A44" s="34" t="s">
        <v>177</v>
      </c>
      <c r="B44" s="34" t="s">
        <v>82</v>
      </c>
      <c r="C44" s="34" t="s">
        <v>83</v>
      </c>
      <c r="D44" s="35">
        <v>0.1</v>
      </c>
      <c r="E44" s="36">
        <f>'Oct 28'!$D44*$C$6*$C$2</f>
        <v>14308373.089376001</v>
      </c>
      <c r="F44" s="36">
        <v>249387.490566038</v>
      </c>
      <c r="G44" s="37">
        <f>'Oct 28'!$E44/'Oct 28'!$F44</f>
        <v>57.374060971944111</v>
      </c>
      <c r="H44" s="34">
        <v>53</v>
      </c>
      <c r="I44" s="34">
        <v>57</v>
      </c>
      <c r="J44" s="38">
        <f t="shared" si="2"/>
        <v>4</v>
      </c>
      <c r="K44" s="39">
        <f>'Oct 28'!$F44*'Oct 28'!$I44</f>
        <v>14215086.962264165</v>
      </c>
      <c r="L44" s="40">
        <f>'Oct 28'!$K44/$K$2</f>
        <v>9.9773911802754287E-2</v>
      </c>
      <c r="M44" s="41"/>
    </row>
    <row r="45" spans="1:13" s="43" customFormat="1" ht="25.5" x14ac:dyDescent="0.25">
      <c r="A45" s="34" t="s">
        <v>177</v>
      </c>
      <c r="B45" s="34" t="s">
        <v>104</v>
      </c>
      <c r="C45" s="34" t="s">
        <v>105</v>
      </c>
      <c r="D45" s="35">
        <v>0.1</v>
      </c>
      <c r="E45" s="36">
        <f>'Oct 28'!$D45*$C$6*$C$2</f>
        <v>14308373.089376001</v>
      </c>
      <c r="F45" s="36">
        <v>416361.53125</v>
      </c>
      <c r="G45" s="37">
        <f>'Oct 28'!$E45/'Oct 28'!$F45</f>
        <v>34.365261954963572</v>
      </c>
      <c r="H45" s="34">
        <v>32</v>
      </c>
      <c r="I45" s="34">
        <v>34</v>
      </c>
      <c r="J45" s="38">
        <f t="shared" si="2"/>
        <v>2</v>
      </c>
      <c r="K45" s="39">
        <f>'Oct 28'!$F45*'Oct 28'!$I45</f>
        <v>14156292.0625</v>
      </c>
      <c r="L45" s="40">
        <f>'Oct 28'!$K45/$K$2</f>
        <v>9.936123777838185E-2</v>
      </c>
      <c r="M45" s="41"/>
    </row>
    <row r="46" spans="1:13" s="43" customFormat="1" ht="25.5" x14ac:dyDescent="0.25">
      <c r="A46" s="34" t="s">
        <v>177</v>
      </c>
      <c r="B46" s="34" t="s">
        <v>107</v>
      </c>
      <c r="C46" s="34" t="s">
        <v>108</v>
      </c>
      <c r="D46" s="35">
        <v>0.1</v>
      </c>
      <c r="E46" s="36">
        <f>'Oct 28'!$D46*$C$6*$C$2</f>
        <v>14308373.089376001</v>
      </c>
      <c r="F46" s="36">
        <v>249800</v>
      </c>
      <c r="G46" s="37">
        <f>'Oct 28'!$E46/'Oct 28'!$F46</f>
        <v>57.279315810152127</v>
      </c>
      <c r="H46" s="34">
        <v>53</v>
      </c>
      <c r="I46" s="34">
        <v>57</v>
      </c>
      <c r="J46" s="38">
        <f t="shared" si="2"/>
        <v>4</v>
      </c>
      <c r="K46" s="39">
        <f>'Oct 28'!$F46*'Oct 28'!$I46</f>
        <v>14238600</v>
      </c>
      <c r="L46" s="40">
        <f>'Oct 28'!$K46/$K$2</f>
        <v>9.9938946864410808E-2</v>
      </c>
      <c r="M46" s="41"/>
    </row>
    <row r="47" spans="1:13" s="43" customFormat="1" ht="25.5" x14ac:dyDescent="0.25">
      <c r="A47" s="34" t="s">
        <v>177</v>
      </c>
      <c r="B47" s="34" t="s">
        <v>85</v>
      </c>
      <c r="C47" s="34" t="s">
        <v>86</v>
      </c>
      <c r="D47" s="35">
        <v>0.1</v>
      </c>
      <c r="E47" s="36">
        <f>'Oct 28'!$D47*$C$6*$C$2</f>
        <v>14308373.089376001</v>
      </c>
      <c r="F47" s="36">
        <v>162441.24390243899</v>
      </c>
      <c r="G47" s="37">
        <f>'Oct 28'!$E47/'Oct 28'!$F47</f>
        <v>88.083375537123459</v>
      </c>
      <c r="H47" s="34">
        <v>82</v>
      </c>
      <c r="I47" s="34">
        <v>88</v>
      </c>
      <c r="J47" s="38">
        <f t="shared" si="2"/>
        <v>6</v>
      </c>
      <c r="K47" s="39">
        <f>'Oct 28'!$F47*'Oct 28'!$I47</f>
        <v>14294829.463414632</v>
      </c>
      <c r="L47" s="40">
        <f>'Oct 28'!$K47/$K$2</f>
        <v>0.10033361441293448</v>
      </c>
      <c r="M47" s="41"/>
    </row>
    <row r="48" spans="1:13" s="43" customFormat="1" ht="25.5" x14ac:dyDescent="0.25">
      <c r="A48" s="34" t="s">
        <v>177</v>
      </c>
      <c r="B48" s="34" t="s">
        <v>186</v>
      </c>
      <c r="C48" s="34" t="s">
        <v>187</v>
      </c>
      <c r="D48" s="35">
        <v>0</v>
      </c>
      <c r="E48" s="36">
        <f>'Oct 28'!$D48*$C$6*$C$2</f>
        <v>0</v>
      </c>
      <c r="F48" s="36">
        <v>175847.342105263</v>
      </c>
      <c r="G48" s="37">
        <f>'Oct 28'!$E48/'Oct 28'!$F48</f>
        <v>0</v>
      </c>
      <c r="H48" s="34">
        <v>76</v>
      </c>
      <c r="I48" s="34">
        <v>0</v>
      </c>
      <c r="J48" s="38">
        <f t="shared" si="2"/>
        <v>-76</v>
      </c>
      <c r="K48" s="39">
        <f>'Oct 28'!$F48*'Oct 28'!$I48</f>
        <v>0</v>
      </c>
      <c r="L48" s="40">
        <f>'Oct 28'!$K48/$K$2</f>
        <v>0</v>
      </c>
      <c r="M48" s="41"/>
    </row>
    <row r="49" spans="1:16" s="43" customFormat="1" ht="25.5" x14ac:dyDescent="0.25">
      <c r="A49" s="34" t="s">
        <v>177</v>
      </c>
      <c r="B49" s="34" t="s">
        <v>188</v>
      </c>
      <c r="C49" s="34" t="s">
        <v>189</v>
      </c>
      <c r="D49" s="35">
        <v>0</v>
      </c>
      <c r="E49" s="36">
        <f>'Oct 28'!$D49*$C$6*$C$2</f>
        <v>0</v>
      </c>
      <c r="F49" s="36">
        <v>715221.10526315798</v>
      </c>
      <c r="G49" s="37">
        <f>'Oct 28'!$E49/'Oct 28'!$F49</f>
        <v>0</v>
      </c>
      <c r="H49" s="34">
        <v>19</v>
      </c>
      <c r="I49" s="34">
        <v>0</v>
      </c>
      <c r="J49" s="38">
        <f t="shared" si="2"/>
        <v>-19</v>
      </c>
      <c r="K49" s="39">
        <f>'Oct 28'!$F49*'Oct 28'!$I49</f>
        <v>0</v>
      </c>
      <c r="L49" s="40">
        <f>'Oct 28'!$K49/$K$2</f>
        <v>0</v>
      </c>
      <c r="M49" s="41"/>
    </row>
    <row r="50" spans="1:16" s="44" customFormat="1" ht="12.75" x14ac:dyDescent="0.25">
      <c r="A50" s="34"/>
      <c r="B50" s="34"/>
      <c r="C50" s="34"/>
      <c r="D50" s="35"/>
      <c r="E50" s="36"/>
      <c r="F50" s="36"/>
      <c r="G50" s="37"/>
      <c r="H50" s="34"/>
      <c r="I50" s="34"/>
      <c r="J50" s="45"/>
      <c r="K50" s="36"/>
      <c r="L50" s="40"/>
      <c r="M50" s="34"/>
    </row>
    <row r="51" spans="1:16" s="53" customFormat="1" ht="25.5" x14ac:dyDescent="0.25">
      <c r="A51" s="47" t="s">
        <v>190</v>
      </c>
      <c r="B51" s="47"/>
      <c r="C51" s="47"/>
      <c r="D51" s="55">
        <f>SUBTOTAL(9,D43:D50)</f>
        <v>0.5</v>
      </c>
      <c r="E51" s="49">
        <f>'Oct 28'!$D51*$C$6*$C$2</f>
        <v>71541865.446879998</v>
      </c>
      <c r="F51" s="68"/>
      <c r="G51" s="68"/>
      <c r="H51" s="54"/>
      <c r="I51" s="54"/>
      <c r="J51" s="58"/>
      <c r="K51" s="49">
        <f>SUM(K43:K50)</f>
        <v>71060056.11317879</v>
      </c>
      <c r="L51" s="71">
        <f>'Oct 28'!$K51/$K$2</f>
        <v>0.49876161786109763</v>
      </c>
      <c r="M51" s="47"/>
    </row>
    <row r="52" spans="1:16" s="44" customFormat="1" ht="12.75" x14ac:dyDescent="0.25">
      <c r="A52" s="34"/>
      <c r="B52" s="34"/>
      <c r="C52" s="34"/>
      <c r="D52" s="35"/>
      <c r="E52" s="36"/>
      <c r="F52" s="36"/>
      <c r="G52" s="37"/>
      <c r="H52" s="34"/>
      <c r="I52" s="34"/>
      <c r="J52" s="45"/>
      <c r="K52" s="36"/>
      <c r="L52" s="40"/>
      <c r="M52" s="34"/>
    </row>
    <row r="53" spans="1:16" s="43" customFormat="1" ht="12.75" x14ac:dyDescent="0.25">
      <c r="A53" s="34"/>
      <c r="B53" s="34"/>
      <c r="C53" s="34"/>
      <c r="D53" s="35"/>
      <c r="E53" s="36"/>
      <c r="F53" s="36"/>
      <c r="G53" s="72"/>
      <c r="H53" s="34"/>
      <c r="I53" s="34"/>
      <c r="J53" s="38"/>
      <c r="K53" s="39"/>
      <c r="L53" s="40"/>
      <c r="M53" s="41"/>
    </row>
    <row r="54" spans="1:16" s="43" customFormat="1" ht="25.5" x14ac:dyDescent="0.25">
      <c r="A54" s="34" t="s">
        <v>191</v>
      </c>
      <c r="B54" s="34" t="s">
        <v>63</v>
      </c>
      <c r="C54" s="34" t="s">
        <v>64</v>
      </c>
      <c r="D54" s="35">
        <v>9.9400000000000009E-4</v>
      </c>
      <c r="E54" s="36">
        <f>'Oct 28'!$D54*$C$6*$C$2</f>
        <v>142225.22850839744</v>
      </c>
      <c r="F54" s="36">
        <v>45242.666666666701</v>
      </c>
      <c r="G54" s="72">
        <f>'Oct 28'!$E54/'Oct 28'!$F54</f>
        <v>3.1436084339649297</v>
      </c>
      <c r="H54" s="34">
        <v>3</v>
      </c>
      <c r="I54" s="34">
        <v>3</v>
      </c>
      <c r="J54" s="38">
        <f t="shared" ref="J54:J63" si="3">I54-H54</f>
        <v>0</v>
      </c>
      <c r="K54" s="39">
        <f>'Oct 28'!$F54*'Oct 28'!$I54</f>
        <v>135728.00000000012</v>
      </c>
      <c r="L54" s="40">
        <f>'Oct 28'!$K54/$K$2</f>
        <v>9.5265780203199484E-4</v>
      </c>
      <c r="M54" s="41"/>
    </row>
    <row r="55" spans="1:16" s="43" customFormat="1" ht="25.5" x14ac:dyDescent="0.25">
      <c r="A55" s="34" t="s">
        <v>191</v>
      </c>
      <c r="B55" s="34" t="s">
        <v>73</v>
      </c>
      <c r="C55" s="34" t="s">
        <v>74</v>
      </c>
      <c r="D55" s="35">
        <v>9.9400000000000009E-4</v>
      </c>
      <c r="E55" s="36">
        <f>'Oct 28'!$D55*$C$6*$C$2</f>
        <v>142225.22850839744</v>
      </c>
      <c r="F55" s="36">
        <v>169717</v>
      </c>
      <c r="G55" s="72">
        <f>'Oct 28'!$E55/'Oct 28'!$F55</f>
        <v>0.83801403812462771</v>
      </c>
      <c r="H55" s="34">
        <v>1</v>
      </c>
      <c r="I55" s="34">
        <v>1</v>
      </c>
      <c r="J55" s="38">
        <f t="shared" si="3"/>
        <v>0</v>
      </c>
      <c r="K55" s="39">
        <f>'Oct 28'!$F55*'Oct 28'!$I55</f>
        <v>169717</v>
      </c>
      <c r="L55" s="40">
        <f>'Oct 28'!$K55/$K$2</f>
        <v>1.1912223283881286E-3</v>
      </c>
      <c r="M55" s="41"/>
      <c r="P55" s="43" t="s">
        <v>194</v>
      </c>
    </row>
    <row r="56" spans="1:16" s="43" customFormat="1" ht="25.5" x14ac:dyDescent="0.25">
      <c r="A56" s="34" t="s">
        <v>191</v>
      </c>
      <c r="B56" s="34" t="s">
        <v>92</v>
      </c>
      <c r="C56" s="34" t="s">
        <v>93</v>
      </c>
      <c r="D56" s="35">
        <v>9.9400000000000009E-4</v>
      </c>
      <c r="E56" s="36">
        <f>'Oct 28'!$D56*$C$6*$C$2</f>
        <v>142225.22850839744</v>
      </c>
      <c r="F56" s="36">
        <v>96764.5</v>
      </c>
      <c r="G56" s="72">
        <f>'Oct 28'!$E56/'Oct 28'!$F56</f>
        <v>1.4698079203467951</v>
      </c>
      <c r="H56" s="34">
        <v>2</v>
      </c>
      <c r="I56" s="34">
        <v>1</v>
      </c>
      <c r="J56" s="38">
        <f t="shared" si="3"/>
        <v>-1</v>
      </c>
      <c r="K56" s="39">
        <f>'Oct 28'!$F56*'Oct 28'!$I56</f>
        <v>96764.5</v>
      </c>
      <c r="L56" s="40">
        <f>'Oct 28'!$K56/$K$2</f>
        <v>6.7917788433281921E-4</v>
      </c>
      <c r="M56" s="41"/>
    </row>
    <row r="57" spans="1:16" s="43" customFormat="1" ht="25.5" x14ac:dyDescent="0.25">
      <c r="A57" s="34" t="s">
        <v>191</v>
      </c>
      <c r="B57" s="34" t="s">
        <v>94</v>
      </c>
      <c r="C57" s="34" t="s">
        <v>95</v>
      </c>
      <c r="D57" s="35">
        <v>9.9400000000000009E-4</v>
      </c>
      <c r="E57" s="36">
        <f>'Oct 28'!$D57*$C$6*$C$2</f>
        <v>142225.22850839744</v>
      </c>
      <c r="F57" s="36">
        <v>234096</v>
      </c>
      <c r="G57" s="72">
        <f>'Oct 28'!$E57/'Oct 28'!$F57</f>
        <v>0.60755087019170528</v>
      </c>
      <c r="H57" s="34">
        <v>1</v>
      </c>
      <c r="I57" s="34">
        <v>1</v>
      </c>
      <c r="J57" s="38">
        <f t="shared" si="3"/>
        <v>0</v>
      </c>
      <c r="K57" s="39">
        <f>'Oct 28'!$F57*'Oct 28'!$I57</f>
        <v>234096</v>
      </c>
      <c r="L57" s="40">
        <f>'Oct 28'!$K57/$K$2</f>
        <v>1.6430904516715908E-3</v>
      </c>
      <c r="M57" s="41"/>
    </row>
    <row r="58" spans="1:16" s="43" customFormat="1" ht="25.5" x14ac:dyDescent="0.25">
      <c r="A58" s="34" t="s">
        <v>191</v>
      </c>
      <c r="B58" s="34" t="s">
        <v>98</v>
      </c>
      <c r="C58" s="34" t="s">
        <v>99</v>
      </c>
      <c r="D58" s="35">
        <v>9.9400000000000009E-4</v>
      </c>
      <c r="E58" s="36">
        <f>'Oct 28'!$D58*$C$6*$C$2</f>
        <v>142225.22850839744</v>
      </c>
      <c r="F58" s="36">
        <v>11166.666666666701</v>
      </c>
      <c r="G58" s="72">
        <f>'Oct 28'!$E58/'Oct 28'!$F58</f>
        <v>12.736587627617643</v>
      </c>
      <c r="H58" s="34">
        <v>12</v>
      </c>
      <c r="I58" s="34">
        <v>12</v>
      </c>
      <c r="J58" s="38">
        <f t="shared" si="3"/>
        <v>0</v>
      </c>
      <c r="K58" s="39">
        <f>'Oct 28'!$F58*'Oct 28'!$I58</f>
        <v>134000.00000000041</v>
      </c>
      <c r="L58" s="40">
        <f>'Oct 28'!$K58/$K$2</f>
        <v>9.4052918684639562E-4</v>
      </c>
      <c r="M58" s="41"/>
    </row>
    <row r="59" spans="1:16" s="43" customFormat="1" ht="25.5" x14ac:dyDescent="0.25">
      <c r="A59" s="34" t="s">
        <v>191</v>
      </c>
      <c r="B59" s="34" t="s">
        <v>101</v>
      </c>
      <c r="C59" s="34" t="s">
        <v>102</v>
      </c>
      <c r="D59" s="35">
        <v>9.9400000000000009E-4</v>
      </c>
      <c r="E59" s="36">
        <f>'Oct 28'!$D59*$C$6*$C$2</f>
        <v>142225.22850839744</v>
      </c>
      <c r="F59" s="36">
        <v>90575</v>
      </c>
      <c r="G59" s="72">
        <f>'Oct 28'!$E59/'Oct 28'!$F59</f>
        <v>1.570248175637841</v>
      </c>
      <c r="H59" s="34">
        <v>2</v>
      </c>
      <c r="I59" s="34">
        <v>2</v>
      </c>
      <c r="J59" s="38">
        <f t="shared" si="3"/>
        <v>0</v>
      </c>
      <c r="K59" s="39">
        <f>'Oct 28'!$F59*'Oct 28'!$I59</f>
        <v>181150</v>
      </c>
      <c r="L59" s="40">
        <f>'Oct 28'!$K59/$K$2</f>
        <v>1.2714691208748064E-3</v>
      </c>
      <c r="M59" s="41"/>
    </row>
    <row r="60" spans="1:16" s="2" customFormat="1" ht="25.5" x14ac:dyDescent="0.2">
      <c r="A60" s="34" t="s">
        <v>191</v>
      </c>
      <c r="B60" s="61" t="s">
        <v>132</v>
      </c>
      <c r="C60" s="61" t="s">
        <v>133</v>
      </c>
      <c r="D60" s="35">
        <v>9.9400000000000009E-4</v>
      </c>
      <c r="E60" s="36">
        <f>'Oct 28'!$D60*$C$6*$C$2</f>
        <v>142225.22850839744</v>
      </c>
      <c r="F60" s="36">
        <v>63981</v>
      </c>
      <c r="G60" s="72">
        <f>'Oct 28'!$E60/'Oct 28'!$F60</f>
        <v>2.2229291275284448</v>
      </c>
      <c r="H60" s="34">
        <v>2</v>
      </c>
      <c r="I60" s="34">
        <v>2</v>
      </c>
      <c r="J60" s="38">
        <f t="shared" si="3"/>
        <v>0</v>
      </c>
      <c r="K60" s="39">
        <f>'Oct 28'!$F60*'Oct 28'!$I60</f>
        <v>127962</v>
      </c>
      <c r="L60" s="40">
        <f>'Oct 28'!$K60/$K$2</f>
        <v>8.9814922244207539E-4</v>
      </c>
      <c r="M60" s="62"/>
    </row>
    <row r="61" spans="1:16" s="43" customFormat="1" ht="25.5" x14ac:dyDescent="0.25">
      <c r="A61" s="34" t="s">
        <v>191</v>
      </c>
      <c r="B61" s="34" t="s">
        <v>89</v>
      </c>
      <c r="C61" s="34" t="s">
        <v>90</v>
      </c>
      <c r="D61" s="35">
        <v>9.9400000000000009E-4</v>
      </c>
      <c r="E61" s="36">
        <f>'Oct 28'!$D61*$C$6*$C$2</f>
        <v>142225.22850839744</v>
      </c>
      <c r="F61" s="36">
        <v>32850</v>
      </c>
      <c r="G61" s="72">
        <f>'Oct 28'!$E61/'Oct 28'!$F61</f>
        <v>4.3295351144108807</v>
      </c>
      <c r="H61" s="34">
        <v>4</v>
      </c>
      <c r="I61" s="34">
        <v>4</v>
      </c>
      <c r="J61" s="38">
        <f t="shared" si="3"/>
        <v>0</v>
      </c>
      <c r="K61" s="39">
        <f>'Oct 28'!$F61*'Oct 28'!$I61</f>
        <v>131400</v>
      </c>
      <c r="L61" s="40">
        <f>'Oct 28'!$K61/$K$2</f>
        <v>9.222801130717612E-4</v>
      </c>
      <c r="M61" s="41"/>
    </row>
    <row r="62" spans="1:16" s="43" customFormat="1" ht="25.5" x14ac:dyDescent="0.25">
      <c r="A62" s="34" t="s">
        <v>191</v>
      </c>
      <c r="B62" s="34" t="s">
        <v>113</v>
      </c>
      <c r="C62" s="34" t="s">
        <v>114</v>
      </c>
      <c r="D62" s="35">
        <v>9.9400000000000009E-4</v>
      </c>
      <c r="E62" s="36">
        <f>'Oct 28'!$D62*$C$6*$C$2</f>
        <v>142225.22850839744</v>
      </c>
      <c r="F62" s="36">
        <v>8985.1333333333296</v>
      </c>
      <c r="G62" s="72">
        <f>'Oct 28'!$E62/'Oct 28'!$F62</f>
        <v>15.82895024838038</v>
      </c>
      <c r="H62" s="34">
        <v>15</v>
      </c>
      <c r="I62" s="34">
        <v>16</v>
      </c>
      <c r="J62" s="38">
        <f t="shared" si="3"/>
        <v>1</v>
      </c>
      <c r="K62" s="39">
        <f>'Oct 28'!$F62*'Oct 28'!$I62</f>
        <v>143762.13333333327</v>
      </c>
      <c r="L62" s="40">
        <f>'Oct 28'!$K62/$K$2</f>
        <v>1.009048375845542E-3</v>
      </c>
      <c r="M62" s="41"/>
    </row>
    <row r="63" spans="1:16" s="43" customFormat="1" ht="25.5" x14ac:dyDescent="0.25">
      <c r="A63" s="34" t="s">
        <v>191</v>
      </c>
      <c r="B63" s="34" t="s">
        <v>96</v>
      </c>
      <c r="C63" s="34" t="s">
        <v>97</v>
      </c>
      <c r="D63" s="35">
        <v>9.9400000000000009E-4</v>
      </c>
      <c r="E63" s="36">
        <f>'Oct 28'!$D63*$C$6*$C$2</f>
        <v>142225.22850839744</v>
      </c>
      <c r="F63" s="36">
        <v>45981.666666666701</v>
      </c>
      <c r="G63" s="72">
        <f>'Oct 28'!$E63/'Oct 28'!$F63</f>
        <v>3.093085545146196</v>
      </c>
      <c r="H63" s="34">
        <v>3</v>
      </c>
      <c r="I63" s="34">
        <v>3</v>
      </c>
      <c r="J63" s="38">
        <f t="shared" si="3"/>
        <v>0</v>
      </c>
      <c r="K63" s="39">
        <f>'Oct 28'!$F63*'Oct 28'!$I63</f>
        <v>137945.00000000012</v>
      </c>
      <c r="L63" s="40">
        <f>'Oct 28'!$K63/$K$2</f>
        <v>9.6821864686213251E-4</v>
      </c>
      <c r="M63" s="41"/>
    </row>
    <row r="64" spans="1:16" s="43" customFormat="1" ht="12.75" x14ac:dyDescent="0.25">
      <c r="A64" s="34"/>
      <c r="B64" s="34"/>
      <c r="C64" s="34"/>
      <c r="D64" s="35"/>
      <c r="E64" s="36"/>
      <c r="F64" s="36"/>
      <c r="G64" s="37"/>
      <c r="H64" s="34"/>
      <c r="I64" s="34"/>
      <c r="J64" s="41"/>
      <c r="K64" s="39"/>
      <c r="L64" s="40"/>
      <c r="M64" s="41"/>
    </row>
    <row r="65" spans="1:13" s="43" customFormat="1" ht="12.75" x14ac:dyDescent="0.25">
      <c r="A65" s="34"/>
      <c r="B65" s="34"/>
      <c r="C65" s="34"/>
      <c r="D65" s="35"/>
      <c r="E65" s="36"/>
      <c r="F65" s="36"/>
      <c r="G65" s="37"/>
      <c r="H65" s="34"/>
      <c r="I65" s="34"/>
      <c r="J65" s="41"/>
      <c r="K65" s="39"/>
      <c r="L65" s="40"/>
      <c r="M65" s="41"/>
    </row>
    <row r="66" spans="1:13" s="43" customFormat="1" ht="12.75" x14ac:dyDescent="0.25">
      <c r="A66" s="34"/>
      <c r="B66" s="34"/>
      <c r="C66" s="34"/>
      <c r="D66" s="35"/>
      <c r="E66" s="36"/>
      <c r="F66" s="36"/>
      <c r="G66" s="37"/>
      <c r="H66" s="34"/>
      <c r="I66" s="34"/>
      <c r="J66" s="41"/>
      <c r="K66" s="39"/>
      <c r="L66" s="40"/>
      <c r="M66" s="41"/>
    </row>
    <row r="67" spans="1:13" s="15" customFormat="1" ht="12.75" x14ac:dyDescent="0.2">
      <c r="A67" s="47" t="s">
        <v>205</v>
      </c>
      <c r="B67" s="65"/>
      <c r="C67" s="65"/>
      <c r="D67" s="88">
        <f>SUM(D54:D66)</f>
        <v>9.9400000000000009E-3</v>
      </c>
      <c r="E67" s="49">
        <f>SUM(E53:E66)</f>
        <v>1422252.2850839745</v>
      </c>
      <c r="F67" s="68"/>
      <c r="G67" s="68"/>
      <c r="H67" s="65"/>
      <c r="I67" s="65"/>
      <c r="J67" s="47"/>
      <c r="K67" s="49">
        <f>SUM(K53:K66)</f>
        <v>1492524.6333333338</v>
      </c>
      <c r="L67" s="52">
        <f>'Oct 28'!$K67/$K$2</f>
        <v>1.0475843132367246E-2</v>
      </c>
      <c r="M67" s="59"/>
    </row>
    <row r="68" spans="1:13" s="2" customFormat="1" ht="12.75" x14ac:dyDescent="0.2">
      <c r="A68" s="34"/>
      <c r="B68" s="61"/>
      <c r="C68" s="61"/>
      <c r="D68" s="74"/>
      <c r="E68" s="36"/>
      <c r="F68" s="36"/>
      <c r="G68" s="37"/>
      <c r="H68" s="61"/>
      <c r="I68" s="61"/>
      <c r="J68" s="34"/>
      <c r="K68" s="34"/>
      <c r="L68" s="40"/>
      <c r="M68" s="62"/>
    </row>
    <row r="69" spans="1:13" s="43" customFormat="1" ht="25.5" x14ac:dyDescent="0.25">
      <c r="A69" s="47" t="s">
        <v>206</v>
      </c>
      <c r="B69" s="54" t="s">
        <v>118</v>
      </c>
      <c r="C69" s="54" t="s">
        <v>119</v>
      </c>
      <c r="D69" s="55">
        <v>3.2079999999999999E-3</v>
      </c>
      <c r="E69" s="56">
        <f>'Oct 28'!$D69*$C$6*$C$2</f>
        <v>459012.60870718211</v>
      </c>
      <c r="F69" s="56">
        <v>32825.565217391297</v>
      </c>
      <c r="G69" s="57">
        <f>'Oct 28'!$E69/'Oct 28'!$F69</f>
        <v>13.983387815786729</v>
      </c>
      <c r="H69" s="54">
        <v>23</v>
      </c>
      <c r="I69" s="54">
        <v>14</v>
      </c>
      <c r="J69" s="75">
        <f>I69-H69</f>
        <v>-9</v>
      </c>
      <c r="K69" s="56">
        <f>'Oct 28'!$F69*'Oct 28'!$I69</f>
        <v>459557.91304347815</v>
      </c>
      <c r="L69" s="76">
        <f>'Oct 28'!$K69/$K$2</f>
        <v>3.2255793303254312E-3</v>
      </c>
      <c r="M69" s="54"/>
    </row>
    <row r="70" spans="1:13" s="2" customFormat="1" ht="12.75" x14ac:dyDescent="0.2">
      <c r="A70" s="34"/>
      <c r="B70" s="61"/>
      <c r="C70" s="61"/>
      <c r="D70" s="74"/>
      <c r="E70" s="36"/>
      <c r="F70" s="36"/>
      <c r="G70" s="37"/>
      <c r="H70" s="61"/>
      <c r="I70" s="61"/>
      <c r="J70" s="34"/>
      <c r="K70" s="34"/>
      <c r="L70" s="40"/>
      <c r="M70" s="62"/>
    </row>
    <row r="71" spans="1:13" s="2" customFormat="1" ht="12.75" x14ac:dyDescent="0.2">
      <c r="A71" s="34"/>
      <c r="B71" s="61"/>
      <c r="C71" s="61"/>
      <c r="D71" s="77"/>
      <c r="E71" s="63"/>
      <c r="F71" s="36"/>
      <c r="G71" s="37"/>
      <c r="H71" s="61"/>
      <c r="I71" s="61"/>
      <c r="J71" s="34"/>
      <c r="K71" s="34"/>
      <c r="L71" s="40"/>
      <c r="M71" s="62"/>
    </row>
    <row r="72" spans="1:13" s="15" customFormat="1" ht="12.75" x14ac:dyDescent="0.2">
      <c r="A72" s="47" t="s">
        <v>208</v>
      </c>
      <c r="B72" s="65"/>
      <c r="C72" s="65"/>
      <c r="D72" s="65"/>
      <c r="E72" s="78"/>
      <c r="F72" s="78"/>
      <c r="G72" s="47"/>
      <c r="H72" s="65"/>
      <c r="I72" s="65"/>
      <c r="J72" s="65"/>
      <c r="K72" s="78">
        <f>SUM(K26,K28,K41,K51,K67,K69:K69)</f>
        <v>142472984.2242364</v>
      </c>
      <c r="L72" s="52">
        <f>'Oct 28'!$K72/$K$2</f>
        <v>1</v>
      </c>
      <c r="M72" s="65"/>
    </row>
    <row r="73" spans="1:13" s="2" customFormat="1" ht="12.75" x14ac:dyDescent="0.2">
      <c r="A73" s="62"/>
      <c r="B73" s="62"/>
      <c r="C73" s="62"/>
      <c r="D73" s="79"/>
      <c r="E73" s="80"/>
      <c r="F73" s="36"/>
      <c r="G73" s="81"/>
      <c r="H73" s="62"/>
      <c r="I73" s="62"/>
      <c r="J73" s="62"/>
      <c r="K73" s="62"/>
      <c r="L73" s="40"/>
      <c r="M73" s="62"/>
    </row>
    <row r="74" spans="1:13" s="2" customFormat="1" ht="12.75" x14ac:dyDescent="0.2">
      <c r="A74" s="62"/>
      <c r="B74" s="62"/>
      <c r="C74" s="62"/>
      <c r="D74" s="79"/>
      <c r="E74" s="80"/>
      <c r="F74" s="36"/>
      <c r="G74" s="81"/>
      <c r="H74" s="62"/>
      <c r="I74" s="62"/>
      <c r="J74" s="62"/>
      <c r="K74" s="62"/>
      <c r="L74" s="40"/>
      <c r="M74" s="62"/>
    </row>
    <row r="75" spans="1:13" s="2" customFormat="1" ht="12.75" x14ac:dyDescent="0.2">
      <c r="A75" s="62"/>
      <c r="B75" s="62"/>
      <c r="C75" s="62"/>
      <c r="D75" s="79"/>
      <c r="E75" s="80"/>
      <c r="F75" s="36"/>
      <c r="G75" s="81"/>
      <c r="H75" s="62"/>
      <c r="I75" s="62"/>
      <c r="J75" s="62"/>
      <c r="K75" s="62"/>
      <c r="L75" s="40"/>
      <c r="M75" s="62"/>
    </row>
    <row r="76" spans="1:13" s="2" customFormat="1" ht="12.75" x14ac:dyDescent="0.2">
      <c r="A76" s="62"/>
      <c r="B76" s="62"/>
      <c r="C76" s="62"/>
      <c r="D76" s="79"/>
      <c r="E76" s="80"/>
      <c r="F76" s="36"/>
      <c r="G76" s="81"/>
      <c r="H76" s="62"/>
      <c r="I76" s="62"/>
      <c r="J76" s="62"/>
      <c r="K76" s="62"/>
      <c r="L76" s="40"/>
      <c r="M76" s="62"/>
    </row>
    <row r="77" spans="1:13" s="2" customFormat="1" ht="12.75" x14ac:dyDescent="0.2">
      <c r="A77" s="62"/>
      <c r="B77" s="62"/>
      <c r="C77" s="62"/>
      <c r="D77" s="79"/>
      <c r="E77" s="80"/>
      <c r="F77" s="36"/>
      <c r="G77" s="81"/>
      <c r="H77" s="62"/>
      <c r="I77" s="62"/>
      <c r="J77" s="62"/>
      <c r="K77" s="62"/>
      <c r="L77" s="40"/>
      <c r="M77" s="62"/>
    </row>
    <row r="78" spans="1:13" s="2" customFormat="1" ht="12.75" x14ac:dyDescent="0.2">
      <c r="A78" s="62"/>
      <c r="B78" s="62"/>
      <c r="C78" s="62"/>
      <c r="D78" s="79"/>
      <c r="E78" s="80"/>
      <c r="F78" s="36"/>
      <c r="G78" s="81"/>
      <c r="H78" s="62"/>
      <c r="I78" s="62"/>
      <c r="J78" s="62"/>
      <c r="K78" s="62"/>
      <c r="L78" s="40"/>
      <c r="M78" s="62"/>
    </row>
    <row r="79" spans="1:13" s="2" customFormat="1" ht="12.75" x14ac:dyDescent="0.2">
      <c r="A79" s="62"/>
      <c r="B79" s="62"/>
      <c r="C79" s="62"/>
      <c r="D79" s="79"/>
      <c r="E79" s="80"/>
      <c r="F79" s="36"/>
      <c r="G79" s="81"/>
      <c r="H79" s="62"/>
      <c r="I79" s="62"/>
      <c r="J79" s="62"/>
      <c r="K79" s="62"/>
      <c r="L79" s="40"/>
      <c r="M79" s="62"/>
    </row>
    <row r="80" spans="1:13" s="2" customFormat="1" ht="12.75" x14ac:dyDescent="0.2">
      <c r="A80" s="62"/>
      <c r="B80" s="62"/>
      <c r="C80" s="62"/>
      <c r="D80" s="79"/>
      <c r="E80" s="80"/>
      <c r="F80" s="36"/>
      <c r="G80" s="81"/>
      <c r="H80" s="62"/>
      <c r="I80" s="62"/>
      <c r="J80" s="62"/>
      <c r="K80" s="62"/>
      <c r="L80" s="40"/>
      <c r="M80" s="62"/>
    </row>
    <row r="81" spans="1:13" s="2" customFormat="1" ht="12.75" x14ac:dyDescent="0.2">
      <c r="A81" s="62"/>
      <c r="B81" s="62"/>
      <c r="C81" s="62"/>
      <c r="D81" s="79"/>
      <c r="E81" s="80"/>
      <c r="F81" s="36"/>
      <c r="G81" s="81"/>
      <c r="H81" s="62"/>
      <c r="I81" s="62"/>
      <c r="J81" s="62"/>
      <c r="K81" s="62"/>
      <c r="L81" s="40"/>
      <c r="M81" s="62"/>
    </row>
    <row r="82" spans="1:13" s="2" customFormat="1" ht="12.75" x14ac:dyDescent="0.2"/>
    <row r="83" spans="1:13" s="2" customFormat="1" ht="12.75" x14ac:dyDescent="0.2"/>
    <row r="85" spans="1:13" s="2" customFormat="1" ht="12.75" x14ac:dyDescent="0.2">
      <c r="A85" s="82"/>
      <c r="B85" s="82"/>
      <c r="E85" s="82"/>
      <c r="F85" s="82"/>
      <c r="G85" s="82"/>
      <c r="H85" s="83"/>
      <c r="M85" s="82"/>
    </row>
    <row r="86" spans="1:13" s="2" customFormat="1" ht="12.75" x14ac:dyDescent="0.2">
      <c r="A86" s="82"/>
      <c r="B86" s="82"/>
      <c r="E86" s="82"/>
      <c r="F86" s="82"/>
      <c r="G86" s="82"/>
      <c r="H86" s="83"/>
      <c r="M86" s="82"/>
    </row>
    <row r="87" spans="1:13" s="2" customFormat="1" ht="12.75" x14ac:dyDescent="0.2">
      <c r="A87" s="84"/>
      <c r="B87" s="84"/>
    </row>
    <row r="88" spans="1:13" s="2" customFormat="1" ht="12.75" x14ac:dyDescent="0.2">
      <c r="A88" s="85"/>
      <c r="B88" s="85"/>
      <c r="E88" s="85"/>
      <c r="F88" s="84"/>
      <c r="G88" s="84"/>
      <c r="M88" s="86"/>
    </row>
    <row r="89" spans="1:13" s="2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MH87"/>
  <sheetViews>
    <sheetView zoomScale="125" zoomScaleNormal="125" workbookViewId="0">
      <pane xSplit="2" topLeftCell="C1" activePane="topRight" state="frozen"/>
      <selection pane="topRight" activeCell="J4" sqref="J4"/>
    </sheetView>
  </sheetViews>
  <sheetFormatPr defaultColWidth="9.140625" defaultRowHeight="15" x14ac:dyDescent="0.25"/>
  <cols>
    <col min="1" max="2" width="15.140625" style="2" customWidth="1"/>
    <col min="3" max="3" width="29.28515625" style="2" customWidth="1"/>
    <col min="4" max="4" width="14.85546875" style="2" customWidth="1"/>
    <col min="5" max="5" width="27.42578125" style="2" customWidth="1"/>
    <col min="6" max="7" width="13.7109375" style="2" customWidth="1"/>
    <col min="8" max="8" width="16.5703125" style="2" customWidth="1"/>
    <col min="9" max="9" width="15.5703125" style="2" customWidth="1"/>
    <col min="10" max="10" width="13.42578125" customWidth="1"/>
    <col min="11" max="11" width="23.5703125" customWidth="1"/>
    <col min="12" max="12" width="13.42578125" customWidth="1"/>
    <col min="13" max="13" width="22.5703125" style="2" customWidth="1"/>
    <col min="14" max="16" width="10.85546875" style="2" customWidth="1"/>
    <col min="17" max="17" width="11.28515625" style="2" customWidth="1"/>
    <col min="18" max="1022" width="9.140625" style="2"/>
  </cols>
  <sheetData>
    <row r="1" spans="1:17" s="2" customFormat="1" ht="25.5" x14ac:dyDescent="0.2">
      <c r="A1" s="3"/>
      <c r="B1" s="3" t="s">
        <v>138</v>
      </c>
      <c r="C1" s="4">
        <v>44133</v>
      </c>
      <c r="D1" s="5"/>
      <c r="E1" s="6" t="s">
        <v>139</v>
      </c>
      <c r="F1" s="7"/>
      <c r="G1" s="8"/>
      <c r="K1" s="9" t="s">
        <v>140</v>
      </c>
      <c r="L1" s="9" t="s">
        <v>141</v>
      </c>
      <c r="M1" s="10" t="s">
        <v>142</v>
      </c>
    </row>
    <row r="2" spans="1:17" x14ac:dyDescent="0.25">
      <c r="A2" s="3"/>
      <c r="B2" s="3" t="s">
        <v>143</v>
      </c>
      <c r="C2" s="11">
        <v>7.44</v>
      </c>
      <c r="D2" s="12"/>
      <c r="E2" s="13">
        <f>SUM(E26,E41,E49,E65,E28,E67)</f>
        <v>137833160.63417068</v>
      </c>
      <c r="F2" s="14"/>
      <c r="G2" s="15"/>
      <c r="H2" s="12"/>
      <c r="I2" s="12"/>
      <c r="J2" s="12"/>
      <c r="K2" s="13">
        <f>SUM(K26,K41,K49,K65,K28,K67:K67)</f>
        <v>137832485.84692839</v>
      </c>
      <c r="L2" s="16">
        <f>SUM(L49,L65,L41,L26,L28,L67)</f>
        <v>1.0000000000000002</v>
      </c>
      <c r="M2" s="17">
        <f>K2/$C$6</f>
        <v>7.4400156558753388</v>
      </c>
      <c r="N2" s="18"/>
    </row>
    <row r="3" spans="1:17" ht="26.25" x14ac:dyDescent="0.25">
      <c r="A3" s="3"/>
      <c r="B3" s="3" t="s">
        <v>144</v>
      </c>
      <c r="C3" s="19">
        <v>18525832.77</v>
      </c>
      <c r="D3" s="20"/>
      <c r="E3" s="6" t="s">
        <v>145</v>
      </c>
      <c r="F3" s="14"/>
      <c r="G3" s="15"/>
      <c r="H3" s="12"/>
      <c r="I3" s="12"/>
      <c r="J3" s="12"/>
      <c r="K3" s="6" t="s">
        <v>145</v>
      </c>
      <c r="L3" s="12"/>
      <c r="M3" s="10" t="s">
        <v>146</v>
      </c>
      <c r="N3" s="21"/>
    </row>
    <row r="4" spans="1:17" x14ac:dyDescent="0.25">
      <c r="A4" s="3"/>
      <c r="B4" s="3" t="s">
        <v>147</v>
      </c>
      <c r="C4" s="19">
        <v>0</v>
      </c>
      <c r="D4" s="20"/>
      <c r="E4" s="13">
        <f>SUM(E26,E65,E28)</f>
        <v>26652473.871351842</v>
      </c>
      <c r="F4" s="14"/>
      <c r="G4" s="15"/>
      <c r="H4" s="12"/>
      <c r="I4" s="12"/>
      <c r="J4" s="12"/>
      <c r="K4" s="13">
        <f>SUM(K26,K28,K65)</f>
        <v>26747596.111245278</v>
      </c>
      <c r="L4" s="12"/>
      <c r="M4" s="17">
        <f>K4/$C$6</f>
        <v>1.4437999329541222</v>
      </c>
      <c r="N4" s="21"/>
    </row>
    <row r="5" spans="1:17" x14ac:dyDescent="0.25">
      <c r="A5" s="3"/>
      <c r="B5" s="3" t="s">
        <v>148</v>
      </c>
      <c r="C5" s="19">
        <v>0</v>
      </c>
      <c r="D5" s="20"/>
      <c r="E5" s="14"/>
      <c r="F5" s="14"/>
      <c r="G5" s="22">
        <f>SUM(D26,D28,D41,D49,D65,D67:D67)</f>
        <v>1.0000070000000001</v>
      </c>
      <c r="H5" s="12"/>
      <c r="I5" s="12"/>
      <c r="J5" s="12"/>
      <c r="K5" s="12"/>
      <c r="L5" s="12"/>
      <c r="M5" s="12"/>
      <c r="N5" s="21"/>
    </row>
    <row r="6" spans="1:17" x14ac:dyDescent="0.25">
      <c r="A6" s="3"/>
      <c r="B6" s="3" t="s">
        <v>149</v>
      </c>
      <c r="C6" s="19">
        <f>C3+C4-C5</f>
        <v>18525832.77</v>
      </c>
      <c r="D6" s="20"/>
      <c r="E6" s="14"/>
      <c r="F6" s="14"/>
      <c r="G6" s="15"/>
      <c r="H6" s="12"/>
      <c r="I6" s="12"/>
      <c r="J6" s="12"/>
      <c r="K6" s="12"/>
      <c r="L6" s="12"/>
      <c r="M6" s="12"/>
      <c r="N6" s="21"/>
    </row>
    <row r="7" spans="1:17" x14ac:dyDescent="0.25">
      <c r="A7" s="23"/>
      <c r="B7" s="24"/>
      <c r="C7" s="24"/>
      <c r="D7" s="25"/>
      <c r="E7" s="26"/>
      <c r="F7" s="26"/>
      <c r="G7" s="26"/>
      <c r="H7" s="27"/>
      <c r="I7" s="27"/>
      <c r="J7" s="27"/>
      <c r="K7" s="12"/>
      <c r="L7" s="12"/>
      <c r="M7" s="12"/>
      <c r="N7" s="21"/>
    </row>
    <row r="8" spans="1:17" s="32" customFormat="1" ht="38.25" x14ac:dyDescent="0.2">
      <c r="A8" s="28" t="s">
        <v>150</v>
      </c>
      <c r="B8" s="28" t="s">
        <v>151</v>
      </c>
      <c r="C8" s="29" t="s">
        <v>1</v>
      </c>
      <c r="D8" s="29" t="s">
        <v>152</v>
      </c>
      <c r="E8" s="29" t="s">
        <v>153</v>
      </c>
      <c r="F8" s="29" t="s">
        <v>154</v>
      </c>
      <c r="G8" s="29" t="s">
        <v>155</v>
      </c>
      <c r="H8" s="29" t="s">
        <v>156</v>
      </c>
      <c r="I8" s="29" t="s">
        <v>157</v>
      </c>
      <c r="J8" s="29" t="s">
        <v>158</v>
      </c>
      <c r="K8" s="30" t="s">
        <v>159</v>
      </c>
      <c r="L8" s="30" t="s">
        <v>160</v>
      </c>
      <c r="M8" s="30" t="s">
        <v>161</v>
      </c>
      <c r="N8" s="31"/>
      <c r="Q8" s="33"/>
    </row>
    <row r="9" spans="1:17" s="43" customFormat="1" ht="12.75" x14ac:dyDescent="0.25">
      <c r="A9" s="34" t="s">
        <v>162</v>
      </c>
      <c r="B9" s="34" t="s">
        <v>46</v>
      </c>
      <c r="C9" s="34" t="s">
        <v>47</v>
      </c>
      <c r="D9" s="35">
        <v>1.2586E-2</v>
      </c>
      <c r="E9" s="36">
        <f>'Oct 29'!$D9*$C$6*$C$2</f>
        <v>1734756.0164495569</v>
      </c>
      <c r="F9" s="36">
        <v>512</v>
      </c>
      <c r="G9" s="37">
        <f>'Oct 29'!$E9/'Oct 29'!$F9</f>
        <v>3388.1953446280409</v>
      </c>
      <c r="H9" s="34">
        <v>3288</v>
      </c>
      <c r="I9" s="34">
        <f>ROUND(Table138958456799101112131445626789101112131415161718192021345678910111213141516171819202122[[#This Row],[Target Quantity]],0)</f>
        <v>3388</v>
      </c>
      <c r="J9" s="38">
        <f t="shared" ref="J9:J24" si="0">I9-H9</f>
        <v>100</v>
      </c>
      <c r="K9" s="39">
        <f>'Oct 29'!$F9*'Oct 29'!$I9</f>
        <v>1734656</v>
      </c>
      <c r="L9" s="40">
        <f>'Oct 29'!$K9/$K$2</f>
        <v>1.2585247877822099E-2</v>
      </c>
      <c r="M9" s="41"/>
      <c r="N9" s="42"/>
      <c r="O9" s="87"/>
    </row>
    <row r="10" spans="1:17" s="43" customFormat="1" ht="12.75" customHeight="1" x14ac:dyDescent="0.25">
      <c r="A10" s="34" t="s">
        <v>162</v>
      </c>
      <c r="B10" s="34" t="s">
        <v>55</v>
      </c>
      <c r="C10" s="34" t="s">
        <v>56</v>
      </c>
      <c r="D10" s="35">
        <v>1.2586E-2</v>
      </c>
      <c r="E10" s="36">
        <f>'Oct 29'!$D10*$C$6*$C$2</f>
        <v>1734756.0164495569</v>
      </c>
      <c r="F10" s="36">
        <v>411.35990338164299</v>
      </c>
      <c r="G10" s="37">
        <f>'Oct 29'!$E10/'Oct 29'!$F10</f>
        <v>4217.1247177684227</v>
      </c>
      <c r="H10" s="34">
        <v>4140</v>
      </c>
      <c r="I10" s="34">
        <f>ROUND(Table138958456799101112131445626789101112131415161718192021345678910111213141516171819202122[[#This Row],[Target Quantity]],0)</f>
        <v>4217</v>
      </c>
      <c r="J10" s="38">
        <f t="shared" si="0"/>
        <v>77</v>
      </c>
      <c r="K10" s="39">
        <f>'Oct 29'!$F10*'Oct 29'!$I10</f>
        <v>1734704.7125603885</v>
      </c>
      <c r="L10" s="40">
        <f>'Oct 29'!$K10/$K$2</f>
        <v>1.2585601296394572E-2</v>
      </c>
      <c r="M10" s="41"/>
    </row>
    <row r="11" spans="1:17" s="43" customFormat="1" ht="12.75" customHeight="1" x14ac:dyDescent="0.25">
      <c r="A11" s="34" t="s">
        <v>162</v>
      </c>
      <c r="B11" s="34" t="s">
        <v>37</v>
      </c>
      <c r="C11" s="34" t="s">
        <v>38</v>
      </c>
      <c r="D11" s="35">
        <v>1.2586E-2</v>
      </c>
      <c r="E11" s="36">
        <f>'Oct 29'!$D11*$C$6*$C$2</f>
        <v>1734756.0164495569</v>
      </c>
      <c r="F11" s="36">
        <v>81.510016930022601</v>
      </c>
      <c r="G11" s="37">
        <f>'Oct 29'!$E11/'Oct 29'!$F11</f>
        <v>21282.73409560039</v>
      </c>
      <c r="H11" s="34">
        <v>21264</v>
      </c>
      <c r="I11" s="34">
        <f>ROUND(Table138958456799101112131445626789101112131415161718192021345678910111213141516171819202122[[#This Row],[Target Quantity]],0)</f>
        <v>21283</v>
      </c>
      <c r="J11" s="38">
        <f t="shared" si="0"/>
        <v>19</v>
      </c>
      <c r="K11" s="39">
        <f>'Oct 29'!$F11*'Oct 29'!$I11</f>
        <v>1734777.6903216711</v>
      </c>
      <c r="L11" s="40">
        <f>'Oct 29'!$K11/$K$2</f>
        <v>1.2586130763456231E-2</v>
      </c>
      <c r="M11" s="41"/>
    </row>
    <row r="12" spans="1:17" s="44" customFormat="1" ht="12.75" customHeight="1" x14ac:dyDescent="0.25">
      <c r="A12" s="34" t="s">
        <v>162</v>
      </c>
      <c r="B12" s="34" t="s">
        <v>23</v>
      </c>
      <c r="C12" s="34" t="s">
        <v>24</v>
      </c>
      <c r="D12" s="35">
        <v>1.2586E-2</v>
      </c>
      <c r="E12" s="36">
        <f>'Oct 29'!$D12*$C$6*$C$2</f>
        <v>1734756.0164495569</v>
      </c>
      <c r="F12" s="36">
        <v>218.25</v>
      </c>
      <c r="G12" s="37">
        <f>'Oct 29'!$E12/'Oct 29'!$F12</f>
        <v>7948.4811750266072</v>
      </c>
      <c r="H12" s="34">
        <v>7848</v>
      </c>
      <c r="I12" s="34">
        <f>ROUND(Table138958456799101112131445626789101112131415161718192021345678910111213141516171819202122[[#This Row],[Target Quantity]],0)</f>
        <v>7948</v>
      </c>
      <c r="J12" s="38">
        <f t="shared" si="0"/>
        <v>100</v>
      </c>
      <c r="K12" s="39">
        <f>'Oct 29'!$F12*'Oct 29'!$I12</f>
        <v>1734651</v>
      </c>
      <c r="L12" s="40">
        <f>'Oct 29'!$K12/$K$2</f>
        <v>1.2585211601903767E-2</v>
      </c>
      <c r="M12" s="34"/>
    </row>
    <row r="13" spans="1:17" s="44" customFormat="1" ht="12.75" customHeight="1" x14ac:dyDescent="0.25">
      <c r="A13" s="34" t="s">
        <v>162</v>
      </c>
      <c r="B13" s="34" t="s">
        <v>60</v>
      </c>
      <c r="C13" s="34" t="s">
        <v>61</v>
      </c>
      <c r="D13" s="35">
        <v>1.2586E-2</v>
      </c>
      <c r="E13" s="36">
        <f>'Oct 29'!$D13*$C$6*$C$2</f>
        <v>1734756.0164495569</v>
      </c>
      <c r="F13" s="36">
        <v>520</v>
      </c>
      <c r="G13" s="37">
        <f>'Oct 29'!$E13/'Oct 29'!$F13</f>
        <v>3336.0692624029939</v>
      </c>
      <c r="H13" s="34">
        <v>3336</v>
      </c>
      <c r="I13" s="34">
        <f>ROUND(Table138958456799101112131445626789101112131415161718192021345678910111213141516171819202122[[#This Row],[Target Quantity]],0)</f>
        <v>3336</v>
      </c>
      <c r="J13" s="38">
        <f t="shared" si="0"/>
        <v>0</v>
      </c>
      <c r="K13" s="39">
        <f>'Oct 29'!$F13*'Oct 29'!$I13</f>
        <v>1734720</v>
      </c>
      <c r="L13" s="40">
        <f>'Oct 29'!$K13/$K$2</f>
        <v>1.2585712209576742E-2</v>
      </c>
      <c r="M13" s="34"/>
    </row>
    <row r="14" spans="1:17" s="44" customFormat="1" ht="12.75" customHeight="1" x14ac:dyDescent="0.25">
      <c r="A14" s="34" t="s">
        <v>162</v>
      </c>
      <c r="B14" s="34" t="s">
        <v>43</v>
      </c>
      <c r="C14" s="34" t="s">
        <v>44</v>
      </c>
      <c r="D14" s="35">
        <v>1.2586E-2</v>
      </c>
      <c r="E14" s="36">
        <f>'Oct 29'!$D14*$C$6*$C$2</f>
        <v>1734756.0164495569</v>
      </c>
      <c r="F14" s="36">
        <v>1273.59006671609</v>
      </c>
      <c r="G14" s="37">
        <f>'Oct 29'!$E14/'Oct 29'!$F14</f>
        <v>1362.0992042773764</v>
      </c>
      <c r="H14" s="34">
        <v>1349</v>
      </c>
      <c r="I14" s="34">
        <f>ROUND(Table138958456799101112131445626789101112131415161718192021345678910111213141516171819202122[[#This Row],[Target Quantity]],0)</f>
        <v>1362</v>
      </c>
      <c r="J14" s="38">
        <f t="shared" si="0"/>
        <v>13</v>
      </c>
      <c r="K14" s="39">
        <f>'Oct 29'!$F14*'Oct 29'!$I14</f>
        <v>1734629.6708673146</v>
      </c>
      <c r="L14" s="40">
        <f>'Oct 29'!$K14/$K$2</f>
        <v>1.2585056855128693E-2</v>
      </c>
      <c r="M14" s="34"/>
    </row>
    <row r="15" spans="1:17" s="44" customFormat="1" ht="12.75" customHeight="1" x14ac:dyDescent="0.25">
      <c r="A15" s="34" t="s">
        <v>162</v>
      </c>
      <c r="B15" s="34" t="s">
        <v>28</v>
      </c>
      <c r="C15" s="34" t="s">
        <v>29</v>
      </c>
      <c r="D15" s="35">
        <v>1.2586E-2</v>
      </c>
      <c r="E15" s="36">
        <f>'Oct 29'!$D15*$C$6*$C$2</f>
        <v>1734756.0164495569</v>
      </c>
      <c r="F15" s="36">
        <v>259.99004176035999</v>
      </c>
      <c r="G15" s="37">
        <f>'Oct 29'!$E15/'Oct 29'!$F15</f>
        <v>6672.3940836492866</v>
      </c>
      <c r="H15" s="34">
        <v>6226</v>
      </c>
      <c r="I15" s="34">
        <f>ROUND(Table138958456799101112131445626789101112131415161718192021345678910111213141516171819202122[[#This Row],[Target Quantity]],0)</f>
        <v>6672</v>
      </c>
      <c r="J15" s="38">
        <f t="shared" si="0"/>
        <v>446</v>
      </c>
      <c r="K15" s="39">
        <f>'Oct 29'!$F15*'Oct 29'!$I15</f>
        <v>1734653.5586251218</v>
      </c>
      <c r="L15" s="40">
        <f>'Oct 29'!$K15/$K$2</f>
        <v>1.258523016519896E-2</v>
      </c>
      <c r="M15" s="34"/>
    </row>
    <row r="16" spans="1:17" s="44" customFormat="1" ht="12.75" customHeight="1" x14ac:dyDescent="0.25">
      <c r="A16" s="34" t="s">
        <v>162</v>
      </c>
      <c r="B16" s="34" t="s">
        <v>19</v>
      </c>
      <c r="C16" s="34" t="s">
        <v>20</v>
      </c>
      <c r="D16" s="35">
        <v>9.4389999999999995E-3</v>
      </c>
      <c r="E16" s="36">
        <f>'Oct 29'!$D16*$C$6*$C$2</f>
        <v>1300998.0962392632</v>
      </c>
      <c r="F16" s="36">
        <v>1253.5404135338299</v>
      </c>
      <c r="G16" s="37">
        <f>'Oct 29'!$E16/'Oct 29'!$F16</f>
        <v>1037.8589171861211</v>
      </c>
      <c r="H16" s="34">
        <v>1064</v>
      </c>
      <c r="I16" s="34">
        <f>ROUND(Table138958456799101112131445626789101112131415161718192021345678910111213141516171819202122[[#This Row],[Target Quantity]],0)</f>
        <v>1038</v>
      </c>
      <c r="J16" s="38">
        <f t="shared" si="0"/>
        <v>-26</v>
      </c>
      <c r="K16" s="39">
        <f>'Oct 29'!$F16*'Oct 29'!$I16</f>
        <v>1301174.9492481155</v>
      </c>
      <c r="L16" s="40">
        <f>'Oct 29'!$K16/$K$2</f>
        <v>9.4402632387632617E-3</v>
      </c>
      <c r="M16" s="34"/>
    </row>
    <row r="17" spans="1:15" s="44" customFormat="1" ht="12.75" customHeight="1" x14ac:dyDescent="0.25">
      <c r="A17" s="34" t="s">
        <v>162</v>
      </c>
      <c r="B17" s="34" t="s">
        <v>25</v>
      </c>
      <c r="C17" s="34" t="s">
        <v>26</v>
      </c>
      <c r="D17" s="35">
        <v>6.293E-3</v>
      </c>
      <c r="E17" s="36">
        <f>'Oct 29'!$D17*$C$6*$C$2</f>
        <v>867378.00822477846</v>
      </c>
      <c r="F17" s="36">
        <v>16.8699940816729</v>
      </c>
      <c r="G17" s="37">
        <f>'Oct 29'!$E17/'Oct 29'!$F17</f>
        <v>51415.430498999063</v>
      </c>
      <c r="H17" s="34">
        <v>50690</v>
      </c>
      <c r="I17" s="34">
        <f>ROUND(Table138958456799101112131445626789101112131415161718192021345678910111213141516171819202122[[#This Row],[Target Quantity]],0)</f>
        <v>51415</v>
      </c>
      <c r="J17" s="38">
        <f t="shared" si="0"/>
        <v>725</v>
      </c>
      <c r="K17" s="39">
        <f>'Oct 29'!$F17*'Oct 29'!$I17</f>
        <v>867370.74570921215</v>
      </c>
      <c r="L17" s="40">
        <f>'Oct 29'!$K17/$K$2</f>
        <v>6.2929340668823296E-3</v>
      </c>
      <c r="M17" s="34"/>
    </row>
    <row r="18" spans="1:15" s="44" customFormat="1" ht="12.75" customHeight="1" x14ac:dyDescent="0.25">
      <c r="A18" s="34" t="s">
        <v>162</v>
      </c>
      <c r="B18" s="34" t="s">
        <v>40</v>
      </c>
      <c r="C18" s="34" t="s">
        <v>41</v>
      </c>
      <c r="D18" s="35">
        <v>6.293E-3</v>
      </c>
      <c r="E18" s="36">
        <f>'Oct 29'!$D18*$C$6*$C$2</f>
        <v>867378.00822477846</v>
      </c>
      <c r="F18" s="36">
        <v>32.270000000000003</v>
      </c>
      <c r="G18" s="37">
        <f>'Oct 29'!$E18/'Oct 29'!$F18</f>
        <v>26878.773108917831</v>
      </c>
      <c r="H18" s="34">
        <v>25300</v>
      </c>
      <c r="I18" s="34">
        <f>ROUND(Table138958456799101112131445626789101112131415161718192021345678910111213141516171819202122[[#This Row],[Target Quantity]],0)</f>
        <v>26879</v>
      </c>
      <c r="J18" s="38">
        <f t="shared" si="0"/>
        <v>1579</v>
      </c>
      <c r="K18" s="39">
        <f>'Oct 29'!$F18*'Oct 29'!$I18</f>
        <v>867385.33000000007</v>
      </c>
      <c r="L18" s="40">
        <f>'Oct 29'!$K18/$K$2</f>
        <v>6.293039878590638E-3</v>
      </c>
      <c r="M18" s="34"/>
    </row>
    <row r="19" spans="1:15" s="44" customFormat="1" ht="12.75" customHeight="1" x14ac:dyDescent="0.25">
      <c r="A19" s="34" t="s">
        <v>162</v>
      </c>
      <c r="B19" s="34" t="s">
        <v>11</v>
      </c>
      <c r="C19" s="34" t="s">
        <v>12</v>
      </c>
      <c r="D19" s="35">
        <v>9.4389999999999995E-3</v>
      </c>
      <c r="E19" s="36">
        <f>'Oct 29'!$D19*$C$6*$C$2</f>
        <v>1300998.0962392632</v>
      </c>
      <c r="F19" s="36">
        <v>439.50998948475302</v>
      </c>
      <c r="G19" s="37">
        <f>'Oct 29'!$E19/'Oct 29'!$F19</f>
        <v>2960.1104124264643</v>
      </c>
      <c r="H19" s="34">
        <v>1902</v>
      </c>
      <c r="I19" s="34">
        <f>ROUND(Table138958456799101112131445626789101112131415161718192021345678910111213141516171819202122[[#This Row],[Target Quantity]],0)</f>
        <v>2960</v>
      </c>
      <c r="J19" s="38">
        <f t="shared" si="0"/>
        <v>1058</v>
      </c>
      <c r="K19" s="39">
        <f>'Oct 29'!$F19*'Oct 29'!$I19</f>
        <v>1300949.568874869</v>
      </c>
      <c r="L19" s="40">
        <f>'Oct 29'!$K19/$K$2</f>
        <v>9.4386280627605824E-3</v>
      </c>
      <c r="M19" s="34"/>
    </row>
    <row r="20" spans="1:15" s="44" customFormat="1" ht="12.75" customHeight="1" x14ac:dyDescent="0.25">
      <c r="A20" s="34" t="s">
        <v>162</v>
      </c>
      <c r="B20" s="34" t="s">
        <v>52</v>
      </c>
      <c r="C20" s="34" t="s">
        <v>53</v>
      </c>
      <c r="D20" s="35">
        <v>1.2586E-2</v>
      </c>
      <c r="E20" s="36">
        <f>'Oct 29'!$D20*$C$6*$C$2</f>
        <v>1734756.0164495569</v>
      </c>
      <c r="F20" s="36">
        <v>194.40004564125999</v>
      </c>
      <c r="G20" s="37">
        <f>'Oct 29'!$E20/'Oct 29'!$F20</f>
        <v>8923.6399648322276</v>
      </c>
      <c r="H20" s="34">
        <v>8764</v>
      </c>
      <c r="I20" s="34">
        <f>ROUND(Table138958456799101112131445626789101112131415161718192021345678910111213141516171819202122[[#This Row],[Target Quantity]],0)</f>
        <v>8924</v>
      </c>
      <c r="J20" s="38">
        <f t="shared" si="0"/>
        <v>160</v>
      </c>
      <c r="K20" s="39">
        <f>'Oct 29'!$F20*'Oct 29'!$I20</f>
        <v>1734826.0073026042</v>
      </c>
      <c r="L20" s="40">
        <f>'Oct 29'!$K20/$K$2</f>
        <v>1.2586481312027102E-2</v>
      </c>
      <c r="M20" s="34"/>
    </row>
    <row r="21" spans="1:15" s="44" customFormat="1" ht="12.75" customHeight="1" x14ac:dyDescent="0.25">
      <c r="A21" s="34" t="s">
        <v>162</v>
      </c>
      <c r="B21" s="34" t="s">
        <v>31</v>
      </c>
      <c r="C21" s="34" t="s">
        <v>32</v>
      </c>
      <c r="D21" s="35">
        <v>6.293E-3</v>
      </c>
      <c r="E21" s="36">
        <f>'Oct 29'!$D21*$C$6*$C$2</f>
        <v>867378.00822477846</v>
      </c>
      <c r="F21" s="36">
        <v>19.369991657728502</v>
      </c>
      <c r="G21" s="37">
        <f>'Oct 29'!$E21/'Oct 29'!$F21</f>
        <v>44779.472472240341</v>
      </c>
      <c r="H21" s="34">
        <v>41955</v>
      </c>
      <c r="I21" s="34">
        <f>ROUND(Table138958456799101112131445626789101112131415161718192021345678910111213141516171819202122[[#This Row],[Target Quantity]],0)</f>
        <v>44779</v>
      </c>
      <c r="J21" s="38">
        <f t="shared" si="0"/>
        <v>2824</v>
      </c>
      <c r="K21" s="39">
        <f>'Oct 29'!$F21*'Oct 29'!$I21</f>
        <v>867368.85644142458</v>
      </c>
      <c r="L21" s="40">
        <f>'Oct 29'!$K21/$K$2</f>
        <v>6.2929203598975358E-3</v>
      </c>
      <c r="M21" s="34"/>
    </row>
    <row r="22" spans="1:15" s="44" customFormat="1" ht="12.75" customHeight="1" x14ac:dyDescent="0.25">
      <c r="A22" s="34" t="s">
        <v>162</v>
      </c>
      <c r="B22" s="34" t="s">
        <v>16</v>
      </c>
      <c r="C22" s="34" t="s">
        <v>17</v>
      </c>
      <c r="D22" s="35">
        <v>1.2586E-2</v>
      </c>
      <c r="E22" s="36">
        <f>'Oct 29'!$D22*$C$6*$C$2</f>
        <v>1734756.0164495569</v>
      </c>
      <c r="F22" s="36">
        <v>33.220005460644401</v>
      </c>
      <c r="G22" s="37">
        <f>'Oct 29'!$E22/'Oct 29'!$F22</f>
        <v>52220.22068914814</v>
      </c>
      <c r="H22" s="34">
        <v>51276</v>
      </c>
      <c r="I22" s="34">
        <f>ROUND(Table138958456799101112131445626789101112131415161718192021345678910111213141516171819202122[[#This Row],[Target Quantity]],0)</f>
        <v>52220</v>
      </c>
      <c r="J22" s="38">
        <f t="shared" si="0"/>
        <v>944</v>
      </c>
      <c r="K22" s="39">
        <f>'Oct 29'!$F22*'Oct 29'!$I22</f>
        <v>1734748.6851548506</v>
      </c>
      <c r="L22" s="40">
        <f>'Oct 29'!$K22/$K$2</f>
        <v>1.2585920325643677E-2</v>
      </c>
      <c r="M22" s="34"/>
    </row>
    <row r="23" spans="1:15" s="44" customFormat="1" ht="12.75" customHeight="1" x14ac:dyDescent="0.25">
      <c r="A23" s="34" t="s">
        <v>162</v>
      </c>
      <c r="B23" s="34" t="s">
        <v>57</v>
      </c>
      <c r="C23" s="34" t="s">
        <v>58</v>
      </c>
      <c r="D23" s="35">
        <v>6.293E-3</v>
      </c>
      <c r="E23" s="36">
        <f>'Oct 29'!$D23*$C$6*$C$2</f>
        <v>867378.00822477846</v>
      </c>
      <c r="F23" s="36">
        <v>188.44005388414899</v>
      </c>
      <c r="G23" s="37">
        <f>'Oct 29'!$E23/'Oct 29'!$F23</f>
        <v>4602.9386552714186</v>
      </c>
      <c r="H23" s="34">
        <v>4454</v>
      </c>
      <c r="I23" s="34">
        <f>ROUND(Table138958456799101112131445626789101112131415161718192021345678910111213141516171819202122[[#This Row],[Target Quantity]],0)</f>
        <v>4603</v>
      </c>
      <c r="J23" s="38">
        <f t="shared" si="0"/>
        <v>149</v>
      </c>
      <c r="K23" s="39">
        <f>'Oct 29'!$F23*'Oct 29'!$I23</f>
        <v>867389.56802873779</v>
      </c>
      <c r="L23" s="40">
        <f>'Oct 29'!$K23/$K$2</f>
        <v>6.2930706262675131E-3</v>
      </c>
      <c r="M23" s="34"/>
    </row>
    <row r="24" spans="1:15" s="44" customFormat="1" ht="12.75" customHeight="1" x14ac:dyDescent="0.25">
      <c r="A24" s="34" t="s">
        <v>162</v>
      </c>
      <c r="B24" s="34" t="s">
        <v>49</v>
      </c>
      <c r="C24" s="34" t="s">
        <v>50</v>
      </c>
      <c r="D24" s="35">
        <v>6.293E-3</v>
      </c>
      <c r="E24" s="36">
        <f>'Oct 29'!$D24*$C$6*$C$2</f>
        <v>867378.00822477846</v>
      </c>
      <c r="F24" s="36">
        <v>60.880022637238298</v>
      </c>
      <c r="G24" s="37">
        <f>'Oct 29'!$E24/'Oct 29'!$F24</f>
        <v>14247.333865053986</v>
      </c>
      <c r="H24" s="34">
        <v>14136</v>
      </c>
      <c r="I24" s="34">
        <f>ROUND(Table138958456799101112131445626789101112131415161718192021345678910111213141516171819202122[[#This Row],[Target Quantity]],0)</f>
        <v>14247</v>
      </c>
      <c r="J24" s="38">
        <f t="shared" si="0"/>
        <v>111</v>
      </c>
      <c r="K24" s="39">
        <f>'Oct 29'!$F24*'Oct 29'!$I24</f>
        <v>867357.68251273409</v>
      </c>
      <c r="L24" s="40">
        <f>'Oct 29'!$K24/$K$2</f>
        <v>6.2928392909926125E-3</v>
      </c>
      <c r="M24" s="34"/>
    </row>
    <row r="25" spans="1:15" s="44" customFormat="1" ht="12.75" customHeight="1" x14ac:dyDescent="0.25">
      <c r="A25" s="34"/>
      <c r="B25" s="34"/>
      <c r="C25" s="34"/>
      <c r="D25" s="35"/>
      <c r="E25" s="36"/>
      <c r="F25" s="36"/>
      <c r="G25" s="37"/>
      <c r="H25" s="34"/>
      <c r="I25" s="34"/>
      <c r="J25" s="45"/>
      <c r="K25" s="36"/>
      <c r="L25" s="46"/>
      <c r="M25" s="34"/>
    </row>
    <row r="26" spans="1:15" s="53" customFormat="1" ht="12.75" customHeight="1" x14ac:dyDescent="0.25">
      <c r="A26" s="47" t="s">
        <v>175</v>
      </c>
      <c r="B26" s="47"/>
      <c r="C26" s="47"/>
      <c r="D26" s="48">
        <f>SUM(D9:D25)</f>
        <v>0.16361699999999996</v>
      </c>
      <c r="E26" s="49">
        <f>'Oct 29'!$D26*$C$6*$C$2</f>
        <v>22551690.381648425</v>
      </c>
      <c r="F26" s="50"/>
      <c r="G26" s="50"/>
      <c r="H26" s="47"/>
      <c r="I26" s="47"/>
      <c r="J26" s="51"/>
      <c r="K26" s="49">
        <f>SUM(K9:K25)</f>
        <v>22551364.025647044</v>
      </c>
      <c r="L26" s="52">
        <f>'Oct 29'!$K26/$K$2</f>
        <v>0.16361428793130631</v>
      </c>
      <c r="M26" s="47"/>
    </row>
    <row r="27" spans="1:15" s="44" customFormat="1" ht="12.75" customHeight="1" x14ac:dyDescent="0.25">
      <c r="A27" s="34"/>
      <c r="B27" s="34"/>
      <c r="C27" s="34"/>
      <c r="D27" s="35"/>
      <c r="E27" s="36"/>
      <c r="F27" s="36"/>
      <c r="G27" s="37"/>
      <c r="H27" s="34"/>
      <c r="I27" s="34"/>
      <c r="J27" s="45"/>
      <c r="K27" s="36"/>
      <c r="L27" s="40"/>
      <c r="M27" s="34"/>
    </row>
    <row r="28" spans="1:15" s="43" customFormat="1" ht="12.75" customHeight="1" x14ac:dyDescent="0.25">
      <c r="A28" s="54"/>
      <c r="B28" s="47" t="s">
        <v>34</v>
      </c>
      <c r="C28" s="54" t="s">
        <v>35</v>
      </c>
      <c r="D28" s="55">
        <v>1.9831999999999999E-2</v>
      </c>
      <c r="E28" s="56">
        <f>'Oct 29'!$D28*$C$6*$C$2</f>
        <v>2733488.1072801217</v>
      </c>
      <c r="F28" s="50">
        <v>17.920000823389799</v>
      </c>
      <c r="G28" s="57">
        <f>'Oct 29'!$E28/'Oct 29'!$F28</f>
        <v>152538.39183490881</v>
      </c>
      <c r="H28" s="54">
        <v>145739</v>
      </c>
      <c r="I28" s="54">
        <f>ROUND(Table138958456799101112131445626789101112131415161718192021345678910111213141516171819202122[[#This Row],[Target Quantity]],0)</f>
        <v>152538</v>
      </c>
      <c r="J28" s="58">
        <f>I28-H28</f>
        <v>6799</v>
      </c>
      <c r="K28" s="59">
        <f>'Oct 29'!$F28*'Oct 29'!$I28</f>
        <v>2733481.0855982332</v>
      </c>
      <c r="L28" s="52">
        <f>'Oct 29'!$K28/$K$2</f>
        <v>1.9831907324329441E-2</v>
      </c>
      <c r="M28" s="47"/>
      <c r="O28" s="42"/>
    </row>
    <row r="29" spans="1:15" s="43" customFormat="1" ht="12.75" customHeight="1" x14ac:dyDescent="0.25">
      <c r="A29" s="34"/>
      <c r="B29" s="34"/>
      <c r="C29" s="34"/>
      <c r="D29" s="35"/>
      <c r="E29" s="36"/>
      <c r="F29" s="36"/>
      <c r="G29" s="37"/>
      <c r="H29" s="34"/>
      <c r="I29" s="34"/>
      <c r="J29" s="45"/>
      <c r="K29" s="39"/>
      <c r="L29" s="40"/>
      <c r="M29" s="34"/>
      <c r="O29" s="42"/>
    </row>
    <row r="30" spans="1:15" s="2" customFormat="1" ht="25.5" x14ac:dyDescent="0.2">
      <c r="A30" s="34" t="s">
        <v>176</v>
      </c>
      <c r="B30" s="60" t="s">
        <v>109</v>
      </c>
      <c r="C30" s="61" t="s">
        <v>110</v>
      </c>
      <c r="D30" s="35">
        <v>3.0245000000000001E-2</v>
      </c>
      <c r="E30" s="36">
        <f>'Oct 29'!$D30*$C$6*$C$2</f>
        <v>4168734.7622371563</v>
      </c>
      <c r="F30" s="36">
        <v>158458.92000000001</v>
      </c>
      <c r="G30" s="37">
        <f>'Oct 29'!$E30/'Oct 29'!$F30</f>
        <v>26.307984190711107</v>
      </c>
      <c r="H30" s="34">
        <v>25</v>
      </c>
      <c r="I30" s="34">
        <v>26</v>
      </c>
      <c r="J30" s="38">
        <f t="shared" ref="J30:J39" si="1">I30-H30</f>
        <v>1</v>
      </c>
      <c r="K30" s="39">
        <f>'Oct 29'!$F30*'Oct 29'!$I30</f>
        <v>4119931.9200000004</v>
      </c>
      <c r="L30" s="40">
        <f>'Oct 29'!$K30/$K$2</f>
        <v>2.9890862772187415E-2</v>
      </c>
      <c r="M30" s="62"/>
    </row>
    <row r="31" spans="1:15" s="2" customFormat="1" ht="25.5" x14ac:dyDescent="0.2">
      <c r="A31" s="34" t="s">
        <v>176</v>
      </c>
      <c r="B31" s="60" t="s">
        <v>115</v>
      </c>
      <c r="C31" s="61" t="s">
        <v>116</v>
      </c>
      <c r="D31" s="35">
        <v>3.0245000000000001E-2</v>
      </c>
      <c r="E31" s="36">
        <f>'Oct 29'!$D31*$C$6*$C$2</f>
        <v>4168734.7622371563</v>
      </c>
      <c r="F31" s="36">
        <v>217937.5</v>
      </c>
      <c r="G31" s="37">
        <f>'Oct 29'!$E31/'Oct 29'!$F31</f>
        <v>19.12812050352581</v>
      </c>
      <c r="H31" s="34">
        <v>18</v>
      </c>
      <c r="I31" s="34">
        <v>19</v>
      </c>
      <c r="J31" s="38">
        <f t="shared" si="1"/>
        <v>1</v>
      </c>
      <c r="K31" s="39">
        <f>'Oct 29'!$F31*'Oct 29'!$I31</f>
        <v>4140812.5</v>
      </c>
      <c r="L31" s="40">
        <f>'Oct 29'!$K31/$K$2</f>
        <v>3.0042355215145953E-2</v>
      </c>
      <c r="M31" s="62"/>
    </row>
    <row r="32" spans="1:15" s="2" customFormat="1" ht="25.5" x14ac:dyDescent="0.2">
      <c r="A32" s="34" t="s">
        <v>176</v>
      </c>
      <c r="B32" s="60" t="s">
        <v>121</v>
      </c>
      <c r="C32" s="61" t="s">
        <v>122</v>
      </c>
      <c r="D32" s="35">
        <v>3.0245000000000001E-2</v>
      </c>
      <c r="E32" s="36">
        <f>'Oct 29'!$D32*$C$6*$C$2</f>
        <v>4168734.7622371563</v>
      </c>
      <c r="F32" s="36">
        <v>174136.30434782599</v>
      </c>
      <c r="G32" s="37">
        <f>'Oct 29'!$E32/'Oct 29'!$F32</f>
        <v>23.939492559290674</v>
      </c>
      <c r="H32" s="34">
        <v>23</v>
      </c>
      <c r="I32" s="34">
        <v>24</v>
      </c>
      <c r="J32" s="38">
        <f t="shared" si="1"/>
        <v>1</v>
      </c>
      <c r="K32" s="39">
        <f>'Oct 29'!$F32*'Oct 29'!$I32</f>
        <v>4179271.3043478238</v>
      </c>
      <c r="L32" s="40">
        <f>'Oct 29'!$K32/$K$2</f>
        <v>3.0321380904275112E-2</v>
      </c>
      <c r="M32" s="62"/>
    </row>
    <row r="33" spans="1:13" s="2" customFormat="1" ht="25.5" x14ac:dyDescent="0.2">
      <c r="A33" s="34" t="s">
        <v>176</v>
      </c>
      <c r="B33" s="60" t="s">
        <v>124</v>
      </c>
      <c r="C33" s="61" t="s">
        <v>125</v>
      </c>
      <c r="D33" s="35">
        <v>3.0245000000000001E-2</v>
      </c>
      <c r="E33" s="36">
        <f>'Oct 29'!$D33*$C$6*$C$2</f>
        <v>4168734.7622371563</v>
      </c>
      <c r="F33" s="36">
        <v>125792.0625</v>
      </c>
      <c r="G33" s="37">
        <f>'Oct 29'!$E33/'Oct 29'!$F33</f>
        <v>33.139887202637738</v>
      </c>
      <c r="H33" s="34">
        <v>32</v>
      </c>
      <c r="I33" s="34">
        <v>33</v>
      </c>
      <c r="J33" s="38">
        <f t="shared" si="1"/>
        <v>1</v>
      </c>
      <c r="K33" s="39">
        <f>'Oct 29'!$F33*'Oct 29'!$I33</f>
        <v>4151138.0625</v>
      </c>
      <c r="L33" s="40">
        <f>'Oct 29'!$K33/$K$2</f>
        <v>3.0117269067541152E-2</v>
      </c>
      <c r="M33" s="62"/>
    </row>
    <row r="34" spans="1:13" s="2" customFormat="1" ht="25.5" x14ac:dyDescent="0.2">
      <c r="A34" s="34" t="s">
        <v>176</v>
      </c>
      <c r="B34" s="60" t="s">
        <v>127</v>
      </c>
      <c r="C34" s="61" t="s">
        <v>128</v>
      </c>
      <c r="D34" s="35">
        <v>3.0245000000000001E-2</v>
      </c>
      <c r="E34" s="36">
        <f>'Oct 29'!$D34*$C$6*$C$2</f>
        <v>4168734.7622371563</v>
      </c>
      <c r="F34" s="36">
        <v>138817</v>
      </c>
      <c r="G34" s="37">
        <f>'Oct 29'!$E34/'Oct 29'!$F34</f>
        <v>30.030434040767027</v>
      </c>
      <c r="H34" s="34">
        <v>29</v>
      </c>
      <c r="I34" s="34">
        <v>30</v>
      </c>
      <c r="J34" s="38">
        <f t="shared" si="1"/>
        <v>1</v>
      </c>
      <c r="K34" s="39">
        <f>'Oct 29'!$F34*'Oct 29'!$I34</f>
        <v>4164510</v>
      </c>
      <c r="L34" s="40">
        <f>'Oct 29'!$K34/$K$2</f>
        <v>3.0214284930077728E-2</v>
      </c>
      <c r="M34" s="62"/>
    </row>
    <row r="35" spans="1:13" s="2" customFormat="1" ht="25.5" x14ac:dyDescent="0.2">
      <c r="A35" s="34" t="s">
        <v>176</v>
      </c>
      <c r="B35" s="60" t="s">
        <v>135</v>
      </c>
      <c r="C35" s="61" t="s">
        <v>136</v>
      </c>
      <c r="D35" s="35">
        <v>3.0245000000000001E-2</v>
      </c>
      <c r="E35" s="36">
        <f>'Oct 29'!$D35*$C$6*$C$2</f>
        <v>4168734.7622371563</v>
      </c>
      <c r="F35" s="36">
        <v>220864.16666666701</v>
      </c>
      <c r="G35" s="37">
        <f>'Oct 29'!$E35/'Oct 29'!$F35</f>
        <v>18.874654160304335</v>
      </c>
      <c r="H35" s="34">
        <v>18</v>
      </c>
      <c r="I35" s="34">
        <v>19</v>
      </c>
      <c r="J35" s="38">
        <f t="shared" si="1"/>
        <v>1</v>
      </c>
      <c r="K35" s="39">
        <f>'Oct 29'!$F35*'Oct 29'!$I35</f>
        <v>4196419.1666666735</v>
      </c>
      <c r="L35" s="40">
        <f>'Oct 29'!$K35/$K$2</f>
        <v>3.0445791794882521E-2</v>
      </c>
      <c r="M35" s="62"/>
    </row>
    <row r="36" spans="1:13" s="43" customFormat="1" ht="25.5" customHeight="1" x14ac:dyDescent="0.25">
      <c r="A36" s="34" t="s">
        <v>177</v>
      </c>
      <c r="B36" s="34" t="s">
        <v>76</v>
      </c>
      <c r="C36" s="34" t="s">
        <v>77</v>
      </c>
      <c r="D36" s="35">
        <v>3.0245000000000001E-2</v>
      </c>
      <c r="E36" s="36">
        <f>'Oct 29'!$D36*$C$6*$C$2</f>
        <v>4168734.7622371563</v>
      </c>
      <c r="F36" s="36">
        <v>114054.74285714301</v>
      </c>
      <c r="G36" s="37">
        <f>'Oct 29'!$E36/'Oct 29'!$F36</f>
        <v>36.55029732045972</v>
      </c>
      <c r="H36" s="34">
        <v>35</v>
      </c>
      <c r="I36" s="34">
        <v>37</v>
      </c>
      <c r="J36" s="38">
        <f t="shared" si="1"/>
        <v>2</v>
      </c>
      <c r="K36" s="39">
        <f>'Oct 29'!$F36*'Oct 29'!$I36</f>
        <v>4220025.4857142912</v>
      </c>
      <c r="L36" s="40">
        <f>'Oct 29'!$K36/$K$2</f>
        <v>3.0617059975257894E-2</v>
      </c>
      <c r="M36" s="41"/>
    </row>
    <row r="37" spans="1:13" s="43" customFormat="1" ht="25.5" x14ac:dyDescent="0.25">
      <c r="A37" s="34" t="s">
        <v>177</v>
      </c>
      <c r="B37" s="34" t="s">
        <v>71</v>
      </c>
      <c r="C37" s="34" t="s">
        <v>72</v>
      </c>
      <c r="D37" s="35">
        <v>3.0245000000000001E-2</v>
      </c>
      <c r="E37" s="36">
        <f>'Oct 29'!$D37*$C$6*$C$2</f>
        <v>4168734.7622371563</v>
      </c>
      <c r="F37" s="36">
        <v>133214.16666666701</v>
      </c>
      <c r="G37" s="37">
        <f>'Oct 29'!$E37/'Oct 29'!$F37</f>
        <v>31.293479263870676</v>
      </c>
      <c r="H37" s="34">
        <v>30</v>
      </c>
      <c r="I37" s="34">
        <v>31</v>
      </c>
      <c r="J37" s="38">
        <f t="shared" si="1"/>
        <v>1</v>
      </c>
      <c r="K37" s="39">
        <f>'Oct 29'!$F37*'Oct 29'!$I37</f>
        <v>4129639.1666666772</v>
      </c>
      <c r="L37" s="40">
        <f>'Oct 29'!$K37/$K$2</f>
        <v>2.9961290629648082E-2</v>
      </c>
      <c r="M37" s="41"/>
    </row>
    <row r="38" spans="1:13" s="43" customFormat="1" ht="25.5" x14ac:dyDescent="0.25">
      <c r="A38" s="34" t="s">
        <v>177</v>
      </c>
      <c r="B38" s="34" t="s">
        <v>67</v>
      </c>
      <c r="C38" s="34" t="s">
        <v>68</v>
      </c>
      <c r="D38" s="35">
        <v>3.0245000000000001E-2</v>
      </c>
      <c r="E38" s="36">
        <f>'Oct 29'!$D38*$C$6*$C$2</f>
        <v>4168734.7622371563</v>
      </c>
      <c r="F38" s="36">
        <v>174539.217391304</v>
      </c>
      <c r="G38" s="37">
        <f>'Oct 29'!$E38/'Oct 29'!$F38</f>
        <v>23.884229713779234</v>
      </c>
      <c r="H38" s="34">
        <v>23</v>
      </c>
      <c r="I38" s="34">
        <v>24</v>
      </c>
      <c r="J38" s="38">
        <f t="shared" si="1"/>
        <v>1</v>
      </c>
      <c r="K38" s="39">
        <f>'Oct 29'!$F38*'Oct 29'!$I38</f>
        <v>4188941.2173912963</v>
      </c>
      <c r="L38" s="40">
        <f>'Oct 29'!$K38/$K$2</f>
        <v>3.0391537899442503E-2</v>
      </c>
      <c r="M38" s="41"/>
    </row>
    <row r="39" spans="1:13" s="43" customFormat="1" ht="25.5" x14ac:dyDescent="0.25">
      <c r="A39" s="34" t="s">
        <v>177</v>
      </c>
      <c r="B39" s="34" t="s">
        <v>80</v>
      </c>
      <c r="C39" s="34" t="s">
        <v>81</v>
      </c>
      <c r="D39" s="35">
        <v>3.0245000000000001E-2</v>
      </c>
      <c r="E39" s="36">
        <f>'Oct 29'!$D39*$C$6*$C$2</f>
        <v>4168734.7622371563</v>
      </c>
      <c r="F39" s="36">
        <v>268017.86666666699</v>
      </c>
      <c r="G39" s="37">
        <f>'Oct 29'!$E39/'Oct 29'!$F39</f>
        <v>15.553943526540337</v>
      </c>
      <c r="H39" s="34">
        <v>15</v>
      </c>
      <c r="I39" s="34">
        <v>16</v>
      </c>
      <c r="J39" s="38">
        <f t="shared" si="1"/>
        <v>1</v>
      </c>
      <c r="K39" s="39">
        <f>'Oct 29'!$F39*'Oct 29'!$I39</f>
        <v>4288285.8666666718</v>
      </c>
      <c r="L39" s="40">
        <f>'Oct 29'!$K39/$K$2</f>
        <v>3.1112301576197952E-2</v>
      </c>
      <c r="M39" s="41"/>
    </row>
    <row r="40" spans="1:13" s="64" customFormat="1" ht="12.75" x14ac:dyDescent="0.2">
      <c r="A40" s="34"/>
      <c r="B40" s="61"/>
      <c r="C40" s="61"/>
      <c r="D40" s="35"/>
      <c r="E40" s="63"/>
      <c r="F40" s="36"/>
      <c r="G40" s="37"/>
      <c r="H40" s="34"/>
      <c r="I40" s="34"/>
      <c r="J40" s="45"/>
      <c r="K40" s="36"/>
      <c r="L40" s="46"/>
      <c r="M40" s="62"/>
    </row>
    <row r="41" spans="1:13" s="15" customFormat="1" ht="12.75" x14ac:dyDescent="0.2">
      <c r="A41" s="47" t="s">
        <v>182</v>
      </c>
      <c r="B41" s="65"/>
      <c r="C41" s="65"/>
      <c r="D41" s="55">
        <f>SUBTOTAL(9,D30:D40)</f>
        <v>0.30245</v>
      </c>
      <c r="E41" s="66">
        <f>'Oct 29'!$D41*$C$6*$C$2</f>
        <v>41687347.622371562</v>
      </c>
      <c r="F41" s="67"/>
      <c r="G41" s="68"/>
      <c r="H41" s="54"/>
      <c r="I41" s="54"/>
      <c r="J41" s="58"/>
      <c r="K41" s="66">
        <f>SUM(K30:K40)</f>
        <v>41778974.689953431</v>
      </c>
      <c r="L41" s="69">
        <f>'Oct 29'!$K41/$K$2</f>
        <v>0.30311413476465626</v>
      </c>
      <c r="M41" s="70"/>
    </row>
    <row r="42" spans="1:13" s="64" customFormat="1" ht="12.75" x14ac:dyDescent="0.2">
      <c r="A42" s="34"/>
      <c r="B42" s="61"/>
      <c r="C42" s="61"/>
      <c r="D42" s="35"/>
      <c r="E42" s="63"/>
      <c r="F42" s="36"/>
      <c r="G42" s="37"/>
      <c r="H42" s="34"/>
      <c r="I42" s="34"/>
      <c r="J42" s="45"/>
      <c r="K42" s="36"/>
      <c r="L42" s="40"/>
      <c r="M42" s="62"/>
    </row>
    <row r="43" spans="1:13" s="2" customFormat="1" ht="24.75" customHeight="1" x14ac:dyDescent="0.2">
      <c r="A43" s="34" t="s">
        <v>176</v>
      </c>
      <c r="B43" s="61" t="s">
        <v>183</v>
      </c>
      <c r="C43" s="61" t="s">
        <v>131</v>
      </c>
      <c r="D43" s="35">
        <v>0.1</v>
      </c>
      <c r="E43" s="36">
        <f>'Oct 29'!$D43*$C$6*$C$2</f>
        <v>13783219.580880001</v>
      </c>
      <c r="F43" s="36">
        <v>416326.625</v>
      </c>
      <c r="G43" s="37">
        <f>'Oct 29'!$E43/'Oct 29'!$F43</f>
        <v>33.106745409040322</v>
      </c>
      <c r="H43" s="34">
        <v>32</v>
      </c>
      <c r="I43" s="34">
        <v>33</v>
      </c>
      <c r="J43" s="38">
        <f>I43-H43</f>
        <v>1</v>
      </c>
      <c r="K43" s="39">
        <f>'Oct 29'!$F43*'Oct 29'!$I43</f>
        <v>13738778.625</v>
      </c>
      <c r="L43" s="40">
        <f>'Oct 29'!$K43/$K$2</f>
        <v>9.9677362274796191E-2</v>
      </c>
      <c r="M43" s="62"/>
    </row>
    <row r="44" spans="1:13" s="43" customFormat="1" ht="25.5" x14ac:dyDescent="0.25">
      <c r="A44" s="34" t="s">
        <v>177</v>
      </c>
      <c r="B44" s="34" t="s">
        <v>82</v>
      </c>
      <c r="C44" s="34" t="s">
        <v>83</v>
      </c>
      <c r="D44" s="35">
        <v>0.1</v>
      </c>
      <c r="E44" s="36">
        <f>'Oct 29'!$D44*$C$6*$C$2</f>
        <v>13783219.580880001</v>
      </c>
      <c r="F44" s="36">
        <v>249393.754716981</v>
      </c>
      <c r="G44" s="37">
        <f>'Oct 29'!$E44/'Oct 29'!$F44</f>
        <v>55.266899512065102</v>
      </c>
      <c r="H44" s="34">
        <v>53</v>
      </c>
      <c r="I44" s="34">
        <v>55</v>
      </c>
      <c r="J44" s="38">
        <f>I44-H44</f>
        <v>2</v>
      </c>
      <c r="K44" s="39">
        <f>'Oct 29'!$F44*'Oct 29'!$I44</f>
        <v>13716656.509433955</v>
      </c>
      <c r="L44" s="40">
        <f>'Oct 29'!$K44/$K$2</f>
        <v>9.9516862263277772E-2</v>
      </c>
      <c r="M44" s="41"/>
    </row>
    <row r="45" spans="1:13" s="43" customFormat="1" ht="25.5" x14ac:dyDescent="0.25">
      <c r="A45" s="34" t="s">
        <v>177</v>
      </c>
      <c r="B45" s="34" t="s">
        <v>104</v>
      </c>
      <c r="C45" s="34" t="s">
        <v>105</v>
      </c>
      <c r="D45" s="35">
        <v>0.1</v>
      </c>
      <c r="E45" s="36">
        <f>'Oct 29'!$D45*$C$6*$C$2</f>
        <v>13783219.580880001</v>
      </c>
      <c r="F45" s="36">
        <v>416349.65625</v>
      </c>
      <c r="G45" s="37">
        <f>'Oct 29'!$E45/'Oct 29'!$F45</f>
        <v>33.104914040336745</v>
      </c>
      <c r="H45" s="34">
        <v>32</v>
      </c>
      <c r="I45" s="34">
        <v>33</v>
      </c>
      <c r="J45" s="38">
        <f>I45-H45</f>
        <v>1</v>
      </c>
      <c r="K45" s="39">
        <f>'Oct 29'!$F45*'Oct 29'!$I45</f>
        <v>13739538.65625</v>
      </c>
      <c r="L45" s="40">
        <f>'Oct 29'!$K45/$K$2</f>
        <v>9.9682876441107057E-2</v>
      </c>
      <c r="M45" s="41"/>
    </row>
    <row r="46" spans="1:13" s="43" customFormat="1" ht="25.5" x14ac:dyDescent="0.25">
      <c r="A46" s="34" t="s">
        <v>177</v>
      </c>
      <c r="B46" s="34" t="s">
        <v>107</v>
      </c>
      <c r="C46" s="34" t="s">
        <v>108</v>
      </c>
      <c r="D46" s="35">
        <v>0.1</v>
      </c>
      <c r="E46" s="36">
        <f>'Oct 29'!$D46*$C$6*$C$2</f>
        <v>13783219.580880001</v>
      </c>
      <c r="F46" s="36">
        <v>249796.81132075499</v>
      </c>
      <c r="G46" s="37">
        <f>'Oct 29'!$E46/'Oct 29'!$F46</f>
        <v>55.177724279200149</v>
      </c>
      <c r="H46" s="34">
        <v>53</v>
      </c>
      <c r="I46" s="34">
        <v>55</v>
      </c>
      <c r="J46" s="38">
        <f>I46-H46</f>
        <v>2</v>
      </c>
      <c r="K46" s="39">
        <f>'Oct 29'!$F46*'Oct 29'!$I46</f>
        <v>13738824.622641524</v>
      </c>
      <c r="L46" s="40">
        <f>'Oct 29'!$K46/$K$2</f>
        <v>9.9677695996133672E-2</v>
      </c>
      <c r="M46" s="41"/>
    </row>
    <row r="47" spans="1:13" s="43" customFormat="1" ht="25.5" x14ac:dyDescent="0.25">
      <c r="A47" s="34" t="s">
        <v>177</v>
      </c>
      <c r="B47" s="34" t="s">
        <v>85</v>
      </c>
      <c r="C47" s="34" t="s">
        <v>86</v>
      </c>
      <c r="D47" s="35">
        <v>0.1</v>
      </c>
      <c r="E47" s="36">
        <f>'Oct 29'!$D47*$C$6*$C$2</f>
        <v>13783219.580880001</v>
      </c>
      <c r="F47" s="36">
        <v>162203.853658537</v>
      </c>
      <c r="G47" s="37">
        <f>'Oct 29'!$E47/'Oct 29'!$F47</f>
        <v>84.974673967338092</v>
      </c>
      <c r="H47" s="34">
        <v>82</v>
      </c>
      <c r="I47" s="34">
        <v>85</v>
      </c>
      <c r="J47" s="38">
        <f>I47-H47</f>
        <v>3</v>
      </c>
      <c r="K47" s="39">
        <f>'Oct 29'!$F47*'Oct 29'!$I47</f>
        <v>13787327.560975645</v>
      </c>
      <c r="L47" s="40">
        <f>'Oct 29'!$K47/$K$2</f>
        <v>0.10002959372210217</v>
      </c>
      <c r="M47" s="41"/>
    </row>
    <row r="48" spans="1:13" s="44" customFormat="1" ht="12.75" x14ac:dyDescent="0.25">
      <c r="A48" s="34"/>
      <c r="B48" s="34"/>
      <c r="C48" s="34"/>
      <c r="D48" s="35"/>
      <c r="E48" s="36"/>
      <c r="F48" s="36"/>
      <c r="G48" s="37"/>
      <c r="H48" s="34"/>
      <c r="I48" s="34"/>
      <c r="J48" s="45"/>
      <c r="K48" s="36"/>
      <c r="L48" s="40"/>
      <c r="M48" s="34"/>
    </row>
    <row r="49" spans="1:16" s="53" customFormat="1" ht="25.5" x14ac:dyDescent="0.25">
      <c r="A49" s="47" t="s">
        <v>190</v>
      </c>
      <c r="B49" s="47"/>
      <c r="C49" s="47"/>
      <c r="D49" s="55">
        <f>SUBTOTAL(9,D43:D48)</f>
        <v>0.5</v>
      </c>
      <c r="E49" s="49">
        <f>'Oct 29'!$D49*$C$6*$C$2</f>
        <v>68916097.904400006</v>
      </c>
      <c r="F49" s="68"/>
      <c r="G49" s="68"/>
      <c r="H49" s="54"/>
      <c r="I49" s="54"/>
      <c r="J49" s="58"/>
      <c r="K49" s="49">
        <f>SUM(K43:K48)</f>
        <v>68721125.97430113</v>
      </c>
      <c r="L49" s="71">
        <f>'Oct 29'!$K49/$K$2</f>
        <v>0.49858439069741689</v>
      </c>
      <c r="M49" s="47"/>
    </row>
    <row r="50" spans="1:16" s="44" customFormat="1" ht="12.75" x14ac:dyDescent="0.25">
      <c r="A50" s="34"/>
      <c r="B50" s="34"/>
      <c r="C50" s="34"/>
      <c r="D50" s="35"/>
      <c r="E50" s="36"/>
      <c r="F50" s="36"/>
      <c r="G50" s="37"/>
      <c r="H50" s="34"/>
      <c r="I50" s="34"/>
      <c r="J50" s="45"/>
      <c r="K50" s="36"/>
      <c r="L50" s="40"/>
      <c r="M50" s="34"/>
    </row>
    <row r="51" spans="1:16" s="43" customFormat="1" ht="12.75" x14ac:dyDescent="0.25">
      <c r="A51" s="34"/>
      <c r="B51" s="34"/>
      <c r="C51" s="34"/>
      <c r="D51" s="35"/>
      <c r="E51" s="36"/>
      <c r="F51" s="36"/>
      <c r="G51" s="72"/>
      <c r="H51" s="34"/>
      <c r="I51" s="34"/>
      <c r="J51" s="38"/>
      <c r="K51" s="39"/>
      <c r="L51" s="40"/>
      <c r="M51" s="41"/>
    </row>
    <row r="52" spans="1:16" s="43" customFormat="1" ht="25.5" x14ac:dyDescent="0.25">
      <c r="A52" s="34" t="s">
        <v>191</v>
      </c>
      <c r="B52" s="34" t="s">
        <v>63</v>
      </c>
      <c r="C52" s="34" t="s">
        <v>64</v>
      </c>
      <c r="D52" s="35">
        <v>9.9200000000000004E-4</v>
      </c>
      <c r="E52" s="36">
        <f>'Oct 29'!$D52*$C$6*$C$2</f>
        <v>136729.53824232961</v>
      </c>
      <c r="F52" s="36">
        <v>44996</v>
      </c>
      <c r="G52" s="72">
        <f>'Oct 29'!$E52/'Oct 29'!$F52</f>
        <v>3.0387042902108989</v>
      </c>
      <c r="H52" s="34">
        <v>3</v>
      </c>
      <c r="I52" s="34">
        <v>3</v>
      </c>
      <c r="J52" s="38">
        <f t="shared" ref="J52:J61" si="2">I52-H52</f>
        <v>0</v>
      </c>
      <c r="K52" s="39">
        <f>'Oct 29'!$F52*'Oct 29'!$I52</f>
        <v>134988</v>
      </c>
      <c r="L52" s="40">
        <f>'Oct 29'!$K52/$K$2</f>
        <v>9.7936273274438828E-4</v>
      </c>
      <c r="M52" s="41"/>
    </row>
    <row r="53" spans="1:16" s="43" customFormat="1" ht="25.5" x14ac:dyDescent="0.25">
      <c r="A53" s="34" t="s">
        <v>191</v>
      </c>
      <c r="B53" s="34" t="s">
        <v>73</v>
      </c>
      <c r="C53" s="34" t="s">
        <v>74</v>
      </c>
      <c r="D53" s="35">
        <v>9.9200000000000004E-4</v>
      </c>
      <c r="E53" s="36">
        <f>'Oct 29'!$D53*$C$6*$C$2</f>
        <v>136729.53824232961</v>
      </c>
      <c r="F53" s="36">
        <v>168572</v>
      </c>
      <c r="G53" s="72">
        <f>'Oct 29'!$E53/'Oct 29'!$F53</f>
        <v>0.81110468074371556</v>
      </c>
      <c r="H53" s="34">
        <v>1</v>
      </c>
      <c r="I53" s="34">
        <v>1</v>
      </c>
      <c r="J53" s="38">
        <f t="shared" si="2"/>
        <v>0</v>
      </c>
      <c r="K53" s="39">
        <f>'Oct 29'!$F53*'Oct 29'!$I53</f>
        <v>168572</v>
      </c>
      <c r="L53" s="40">
        <f>'Oct 29'!$K53/$K$2</f>
        <v>1.2230208209928809E-3</v>
      </c>
      <c r="M53" s="41"/>
      <c r="P53" s="43" t="s">
        <v>194</v>
      </c>
    </row>
    <row r="54" spans="1:16" s="43" customFormat="1" ht="25.5" x14ac:dyDescent="0.25">
      <c r="A54" s="34" t="s">
        <v>191</v>
      </c>
      <c r="B54" s="34" t="s">
        <v>92</v>
      </c>
      <c r="C54" s="34" t="s">
        <v>93</v>
      </c>
      <c r="D54" s="35">
        <v>9.9200000000000004E-4</v>
      </c>
      <c r="E54" s="36">
        <f>'Oct 29'!$D54*$C$6*$C$2</f>
        <v>136729.53824232961</v>
      </c>
      <c r="F54" s="36">
        <v>93720</v>
      </c>
      <c r="G54" s="72">
        <f>'Oct 29'!$E54/'Oct 29'!$F54</f>
        <v>1.4589152608016391</v>
      </c>
      <c r="H54" s="34">
        <v>1</v>
      </c>
      <c r="I54" s="34">
        <v>1</v>
      </c>
      <c r="J54" s="38">
        <f t="shared" si="2"/>
        <v>0</v>
      </c>
      <c r="K54" s="39">
        <f>'Oct 29'!$F54*'Oct 29'!$I54</f>
        <v>93720</v>
      </c>
      <c r="L54" s="40">
        <f>'Oct 29'!$K54/$K$2</f>
        <v>6.7995581320416676E-4</v>
      </c>
      <c r="M54" s="41"/>
    </row>
    <row r="55" spans="1:16" s="43" customFormat="1" ht="25.5" x14ac:dyDescent="0.25">
      <c r="A55" s="34" t="s">
        <v>191</v>
      </c>
      <c r="B55" s="34" t="s">
        <v>94</v>
      </c>
      <c r="C55" s="34" t="s">
        <v>95</v>
      </c>
      <c r="D55" s="35">
        <v>9.9200000000000004E-4</v>
      </c>
      <c r="E55" s="36">
        <f>'Oct 29'!$D55*$C$6*$C$2</f>
        <v>136729.53824232961</v>
      </c>
      <c r="F55" s="36">
        <v>224839</v>
      </c>
      <c r="G55" s="72">
        <f>'Oct 29'!$E55/'Oct 29'!$F55</f>
        <v>0.6081219816950334</v>
      </c>
      <c r="H55" s="34">
        <v>1</v>
      </c>
      <c r="I55" s="34">
        <v>1</v>
      </c>
      <c r="J55" s="38">
        <f t="shared" si="2"/>
        <v>0</v>
      </c>
      <c r="K55" s="39">
        <f>'Oct 29'!$F55*'Oct 29'!$I55</f>
        <v>224839</v>
      </c>
      <c r="L55" s="40">
        <f>'Oct 29'!$K55/$K$2</f>
        <v>1.631248240343701E-3</v>
      </c>
      <c r="M55" s="41"/>
    </row>
    <row r="56" spans="1:16" s="43" customFormat="1" ht="25.5" x14ac:dyDescent="0.25">
      <c r="A56" s="34" t="s">
        <v>191</v>
      </c>
      <c r="B56" s="34" t="s">
        <v>98</v>
      </c>
      <c r="C56" s="34" t="s">
        <v>99</v>
      </c>
      <c r="D56" s="35">
        <v>9.9200000000000004E-4</v>
      </c>
      <c r="E56" s="36">
        <f>'Oct 29'!$D56*$C$6*$C$2</f>
        <v>136729.53824232961</v>
      </c>
      <c r="F56" s="36">
        <v>11097</v>
      </c>
      <c r="G56" s="72">
        <f>'Oct 29'!$E56/'Oct 29'!$F56</f>
        <v>12.321306501066019</v>
      </c>
      <c r="H56" s="34">
        <v>12</v>
      </c>
      <c r="I56" s="34">
        <v>12</v>
      </c>
      <c r="J56" s="38">
        <f t="shared" si="2"/>
        <v>0</v>
      </c>
      <c r="K56" s="39">
        <f>'Oct 29'!$F56*'Oct 29'!$I56</f>
        <v>133164</v>
      </c>
      <c r="L56" s="40">
        <f>'Oct 29'!$K56/$K$2</f>
        <v>9.6612927773708564E-4</v>
      </c>
      <c r="M56" s="41"/>
    </row>
    <row r="57" spans="1:16" s="43" customFormat="1" ht="25.5" x14ac:dyDescent="0.25">
      <c r="A57" s="34" t="s">
        <v>191</v>
      </c>
      <c r="B57" s="34" t="s">
        <v>101</v>
      </c>
      <c r="C57" s="34" t="s">
        <v>102</v>
      </c>
      <c r="D57" s="35">
        <v>9.9200000000000004E-4</v>
      </c>
      <c r="E57" s="36">
        <f>'Oct 29'!$D57*$C$6*$C$2</f>
        <v>136729.53824232961</v>
      </c>
      <c r="F57" s="36">
        <v>89417</v>
      </c>
      <c r="G57" s="72">
        <f>'Oct 29'!$E57/'Oct 29'!$F57</f>
        <v>1.52912240672724</v>
      </c>
      <c r="H57" s="34">
        <v>2</v>
      </c>
      <c r="I57" s="34">
        <v>2</v>
      </c>
      <c r="J57" s="38">
        <f t="shared" si="2"/>
        <v>0</v>
      </c>
      <c r="K57" s="39">
        <f>'Oct 29'!$F57*'Oct 29'!$I57</f>
        <v>178834</v>
      </c>
      <c r="L57" s="40">
        <f>'Oct 29'!$K57/$K$2</f>
        <v>1.2974735157762908E-3</v>
      </c>
      <c r="M57" s="41"/>
    </row>
    <row r="58" spans="1:16" s="2" customFormat="1" ht="25.5" x14ac:dyDescent="0.2">
      <c r="A58" s="34" t="s">
        <v>191</v>
      </c>
      <c r="B58" s="61" t="s">
        <v>132</v>
      </c>
      <c r="C58" s="61" t="s">
        <v>133</v>
      </c>
      <c r="D58" s="35">
        <v>9.9200000000000004E-4</v>
      </c>
      <c r="E58" s="36">
        <f>'Oct 29'!$D58*$C$6*$C$2</f>
        <v>136729.53824232961</v>
      </c>
      <c r="F58" s="36">
        <v>63165.5</v>
      </c>
      <c r="G58" s="72">
        <f>'Oct 29'!$E58/'Oct 29'!$F58</f>
        <v>2.1646236987331631</v>
      </c>
      <c r="H58" s="34">
        <v>2</v>
      </c>
      <c r="I58" s="34">
        <v>2</v>
      </c>
      <c r="J58" s="38">
        <f t="shared" si="2"/>
        <v>0</v>
      </c>
      <c r="K58" s="39">
        <f>'Oct 29'!$F58*'Oct 29'!$I58</f>
        <v>126331</v>
      </c>
      <c r="L58" s="40">
        <f>'Oct 29'!$K58/$K$2</f>
        <v>9.1655460774536486E-4</v>
      </c>
      <c r="M58" s="62"/>
    </row>
    <row r="59" spans="1:16" s="43" customFormat="1" ht="25.5" x14ac:dyDescent="0.25">
      <c r="A59" s="34" t="s">
        <v>191</v>
      </c>
      <c r="B59" s="34" t="s">
        <v>89</v>
      </c>
      <c r="C59" s="34" t="s">
        <v>90</v>
      </c>
      <c r="D59" s="35">
        <v>9.9200000000000004E-4</v>
      </c>
      <c r="E59" s="36">
        <f>'Oct 29'!$D59*$C$6*$C$2</f>
        <v>136729.53824232961</v>
      </c>
      <c r="F59" s="36">
        <v>32670</v>
      </c>
      <c r="G59" s="72">
        <f>'Oct 29'!$E59/'Oct 29'!$F59</f>
        <v>4.18517105118854</v>
      </c>
      <c r="H59" s="34">
        <v>4</v>
      </c>
      <c r="I59" s="34">
        <v>4</v>
      </c>
      <c r="J59" s="38">
        <f t="shared" si="2"/>
        <v>0</v>
      </c>
      <c r="K59" s="39">
        <f>'Oct 29'!$F59*'Oct 29'!$I59</f>
        <v>130680</v>
      </c>
      <c r="L59" s="40">
        <f>'Oct 29'!$K59/$K$2</f>
        <v>9.4810740151003541E-4</v>
      </c>
      <c r="M59" s="41"/>
    </row>
    <row r="60" spans="1:16" s="43" customFormat="1" ht="25.5" x14ac:dyDescent="0.25">
      <c r="A60" s="34" t="s">
        <v>191</v>
      </c>
      <c r="B60" s="34" t="s">
        <v>113</v>
      </c>
      <c r="C60" s="34" t="s">
        <v>114</v>
      </c>
      <c r="D60" s="35">
        <v>9.9200000000000004E-4</v>
      </c>
      <c r="E60" s="36">
        <f>'Oct 29'!$D60*$C$6*$C$2</f>
        <v>136729.53824232961</v>
      </c>
      <c r="F60" s="36">
        <v>8065</v>
      </c>
      <c r="G60" s="72">
        <f>'Oct 29'!$E60/'Oct 29'!$F60</f>
        <v>16.953445535316753</v>
      </c>
      <c r="H60" s="34">
        <v>15</v>
      </c>
      <c r="I60" s="34">
        <v>17</v>
      </c>
      <c r="J60" s="38">
        <f t="shared" si="2"/>
        <v>2</v>
      </c>
      <c r="K60" s="39">
        <f>'Oct 29'!$F60*'Oct 29'!$I60</f>
        <v>137105</v>
      </c>
      <c r="L60" s="40">
        <f>'Oct 29'!$K60/$K$2</f>
        <v>9.9472195656591204E-4</v>
      </c>
      <c r="M60" s="41"/>
    </row>
    <row r="61" spans="1:16" s="43" customFormat="1" ht="25.5" x14ac:dyDescent="0.25">
      <c r="A61" s="34" t="s">
        <v>191</v>
      </c>
      <c r="B61" s="34" t="s">
        <v>96</v>
      </c>
      <c r="C61" s="34" t="s">
        <v>97</v>
      </c>
      <c r="D61" s="35">
        <v>9.9200000000000004E-4</v>
      </c>
      <c r="E61" s="36">
        <f>'Oct 29'!$D61*$C$6*$C$2</f>
        <v>136729.53824232961</v>
      </c>
      <c r="F61" s="36">
        <v>44839.333333333299</v>
      </c>
      <c r="G61" s="72">
        <f>'Oct 29'!$E61/'Oct 29'!$F61</f>
        <v>3.0493213899031293</v>
      </c>
      <c r="H61" s="34">
        <v>3</v>
      </c>
      <c r="I61" s="34">
        <v>3</v>
      </c>
      <c r="J61" s="38">
        <f t="shared" si="2"/>
        <v>0</v>
      </c>
      <c r="K61" s="39">
        <f>'Oct 29'!$F61*'Oct 29'!$I61</f>
        <v>134517.99999999988</v>
      </c>
      <c r="L61" s="40">
        <f>'Oct 29'!$K61/$K$2</f>
        <v>9.7595279642123374E-4</v>
      </c>
      <c r="M61" s="41"/>
    </row>
    <row r="62" spans="1:16" s="43" customFormat="1" ht="12.75" x14ac:dyDescent="0.25">
      <c r="A62" s="34"/>
      <c r="B62" s="34"/>
      <c r="C62" s="34"/>
      <c r="D62" s="35"/>
      <c r="E62" s="36"/>
      <c r="F62" s="36"/>
      <c r="G62" s="37"/>
      <c r="H62" s="34"/>
      <c r="I62" s="34"/>
      <c r="J62" s="41"/>
      <c r="K62" s="39"/>
      <c r="L62" s="40"/>
      <c r="M62" s="41"/>
    </row>
    <row r="63" spans="1:16" s="43" customFormat="1" ht="12.75" x14ac:dyDescent="0.25">
      <c r="A63" s="34"/>
      <c r="B63" s="34"/>
      <c r="C63" s="34"/>
      <c r="D63" s="35"/>
      <c r="E63" s="36"/>
      <c r="F63" s="36"/>
      <c r="G63" s="37"/>
      <c r="H63" s="34"/>
      <c r="I63" s="34"/>
      <c r="J63" s="41"/>
      <c r="K63" s="39"/>
      <c r="L63" s="40"/>
      <c r="M63" s="41"/>
    </row>
    <row r="64" spans="1:16" s="43" customFormat="1" ht="12.75" x14ac:dyDescent="0.25">
      <c r="A64" s="34"/>
      <c r="B64" s="34"/>
      <c r="C64" s="34"/>
      <c r="D64" s="35"/>
      <c r="E64" s="36"/>
      <c r="F64" s="36"/>
      <c r="G64" s="37"/>
      <c r="H64" s="34"/>
      <c r="I64" s="34"/>
      <c r="J64" s="41"/>
      <c r="K64" s="39"/>
      <c r="L64" s="40"/>
      <c r="M64" s="41"/>
    </row>
    <row r="65" spans="1:13" s="15" customFormat="1" ht="12.75" x14ac:dyDescent="0.2">
      <c r="A65" s="47" t="s">
        <v>205</v>
      </c>
      <c r="B65" s="65"/>
      <c r="C65" s="65"/>
      <c r="D65" s="88">
        <f>SUM(D52:D64)</f>
        <v>9.92E-3</v>
      </c>
      <c r="E65" s="49">
        <f>SUM(E51:E64)</f>
        <v>1367295.3824232961</v>
      </c>
      <c r="F65" s="68"/>
      <c r="G65" s="68"/>
      <c r="H65" s="65"/>
      <c r="I65" s="65"/>
      <c r="J65" s="47"/>
      <c r="K65" s="49">
        <f>SUM(K51:K64)</f>
        <v>1462751</v>
      </c>
      <c r="L65" s="52">
        <f>'Oct 29'!$K65/$K$2</f>
        <v>1.061252716304106E-2</v>
      </c>
      <c r="M65" s="59"/>
    </row>
    <row r="66" spans="1:13" s="2" customFormat="1" ht="12.75" x14ac:dyDescent="0.2">
      <c r="A66" s="34"/>
      <c r="B66" s="61"/>
      <c r="C66" s="61"/>
      <c r="D66" s="74"/>
      <c r="E66" s="36"/>
      <c r="F66" s="36"/>
      <c r="G66" s="37"/>
      <c r="H66" s="61"/>
      <c r="I66" s="61"/>
      <c r="J66" s="34"/>
      <c r="K66" s="34"/>
      <c r="L66" s="40"/>
      <c r="M66" s="62"/>
    </row>
    <row r="67" spans="1:13" s="43" customFormat="1" ht="25.5" x14ac:dyDescent="0.25">
      <c r="A67" s="47" t="s">
        <v>206</v>
      </c>
      <c r="B67" s="54" t="s">
        <v>118</v>
      </c>
      <c r="C67" s="54" t="s">
        <v>119</v>
      </c>
      <c r="D67" s="55">
        <v>4.1879999999999999E-3</v>
      </c>
      <c r="E67" s="56">
        <f>'Oct 29'!$D67*$C$6*$C$2</f>
        <v>577241.23604725441</v>
      </c>
      <c r="F67" s="56">
        <v>34399.357142857101</v>
      </c>
      <c r="G67" s="57">
        <f>'Oct 29'!$E67/'Oct 29'!$F67</f>
        <v>16.780582080357753</v>
      </c>
      <c r="H67" s="54">
        <v>14</v>
      </c>
      <c r="I67" s="54">
        <v>17</v>
      </c>
      <c r="J67" s="75">
        <f>I67-H67</f>
        <v>3</v>
      </c>
      <c r="K67" s="56">
        <f>'Oct 29'!$F67*'Oct 29'!$I67</f>
        <v>584789.07142857066</v>
      </c>
      <c r="L67" s="76">
        <f>'Oct 29'!$K67/$K$2</f>
        <v>4.2427521192501426E-3</v>
      </c>
      <c r="M67" s="54"/>
    </row>
    <row r="68" spans="1:13" s="2" customFormat="1" ht="12.75" x14ac:dyDescent="0.2">
      <c r="A68" s="34"/>
      <c r="B68" s="61"/>
      <c r="C68" s="61"/>
      <c r="D68" s="74"/>
      <c r="E68" s="36"/>
      <c r="F68" s="36"/>
      <c r="G68" s="37"/>
      <c r="H68" s="61"/>
      <c r="I68" s="61"/>
      <c r="J68" s="34"/>
      <c r="K68" s="34"/>
      <c r="L68" s="40"/>
      <c r="M68" s="62"/>
    </row>
    <row r="69" spans="1:13" s="2" customFormat="1" ht="12.75" x14ac:dyDescent="0.2">
      <c r="A69" s="34"/>
      <c r="B69" s="61"/>
      <c r="C69" s="61"/>
      <c r="D69" s="77"/>
      <c r="E69" s="63"/>
      <c r="F69" s="36"/>
      <c r="G69" s="37"/>
      <c r="H69" s="61"/>
      <c r="I69" s="61"/>
      <c r="J69" s="34"/>
      <c r="K69" s="34"/>
      <c r="L69" s="40"/>
      <c r="M69" s="62"/>
    </row>
    <row r="70" spans="1:13" s="15" customFormat="1" ht="12.75" x14ac:dyDescent="0.2">
      <c r="A70" s="47" t="s">
        <v>208</v>
      </c>
      <c r="B70" s="65"/>
      <c r="C70" s="65"/>
      <c r="D70" s="65"/>
      <c r="E70" s="78"/>
      <c r="F70" s="78"/>
      <c r="G70" s="47"/>
      <c r="H70" s="65"/>
      <c r="I70" s="65"/>
      <c r="J70" s="65"/>
      <c r="K70" s="78">
        <f>SUM(K26,K28,K41,K49,K65,K67:K67)</f>
        <v>137832485.84692839</v>
      </c>
      <c r="L70" s="52">
        <f>'Oct 29'!$K70/$K$2</f>
        <v>1</v>
      </c>
      <c r="M70" s="65"/>
    </row>
    <row r="71" spans="1:13" s="2" customFormat="1" ht="12.75" x14ac:dyDescent="0.2">
      <c r="A71" s="62"/>
      <c r="B71" s="62"/>
      <c r="C71" s="62"/>
      <c r="D71" s="79"/>
      <c r="E71" s="80"/>
      <c r="F71" s="36"/>
      <c r="G71" s="81"/>
      <c r="H71" s="62"/>
      <c r="I71" s="62"/>
      <c r="J71" s="62"/>
      <c r="K71" s="62"/>
      <c r="L71" s="40"/>
      <c r="M71" s="62"/>
    </row>
    <row r="72" spans="1:13" s="2" customFormat="1" ht="12.75" x14ac:dyDescent="0.2">
      <c r="A72" s="62"/>
      <c r="B72" s="62"/>
      <c r="C72" s="62"/>
      <c r="D72" s="79"/>
      <c r="E72" s="80"/>
      <c r="F72" s="36"/>
      <c r="G72" s="81"/>
      <c r="H72" s="62"/>
      <c r="I72" s="62"/>
      <c r="J72" s="62"/>
      <c r="K72" s="62"/>
      <c r="L72" s="40"/>
      <c r="M72" s="62"/>
    </row>
    <row r="73" spans="1:13" s="2" customFormat="1" ht="12.75" x14ac:dyDescent="0.2">
      <c r="A73" s="62"/>
      <c r="B73" s="62"/>
      <c r="C73" s="62"/>
      <c r="D73" s="79"/>
      <c r="E73" s="80"/>
      <c r="F73" s="36"/>
      <c r="G73" s="81"/>
      <c r="H73" s="62"/>
      <c r="I73" s="62"/>
      <c r="J73" s="62"/>
      <c r="K73" s="62"/>
      <c r="L73" s="40"/>
      <c r="M73" s="62"/>
    </row>
    <row r="74" spans="1:13" s="2" customFormat="1" ht="12.75" x14ac:dyDescent="0.2">
      <c r="A74" s="62"/>
      <c r="B74" s="62"/>
      <c r="C74" s="62"/>
      <c r="D74" s="79"/>
      <c r="E74" s="80"/>
      <c r="F74" s="36"/>
      <c r="G74" s="81"/>
      <c r="H74" s="62"/>
      <c r="I74" s="62"/>
      <c r="J74" s="62"/>
      <c r="K74" s="62"/>
      <c r="L74" s="40"/>
      <c r="M74" s="62"/>
    </row>
    <row r="75" spans="1:13" s="2" customFormat="1" ht="12.75" x14ac:dyDescent="0.2">
      <c r="A75" s="62"/>
      <c r="B75" s="62"/>
      <c r="C75" s="62"/>
      <c r="D75" s="79"/>
      <c r="E75" s="80"/>
      <c r="F75" s="36"/>
      <c r="G75" s="81"/>
      <c r="H75" s="62"/>
      <c r="I75" s="62"/>
      <c r="J75" s="62"/>
      <c r="K75" s="62"/>
      <c r="L75" s="40"/>
      <c r="M75" s="62"/>
    </row>
    <row r="76" spans="1:13" s="2" customFormat="1" ht="12.75" x14ac:dyDescent="0.2">
      <c r="A76" s="62"/>
      <c r="B76" s="62"/>
      <c r="C76" s="62"/>
      <c r="D76" s="79"/>
      <c r="E76" s="80"/>
      <c r="F76" s="36"/>
      <c r="G76" s="81"/>
      <c r="H76" s="62"/>
      <c r="I76" s="62"/>
      <c r="J76" s="62"/>
      <c r="K76" s="62"/>
      <c r="L76" s="40"/>
      <c r="M76" s="62"/>
    </row>
    <row r="77" spans="1:13" s="2" customFormat="1" ht="12.75" x14ac:dyDescent="0.2">
      <c r="A77" s="62"/>
      <c r="B77" s="62"/>
      <c r="C77" s="62"/>
      <c r="D77" s="79"/>
      <c r="E77" s="80"/>
      <c r="F77" s="36"/>
      <c r="G77" s="81"/>
      <c r="H77" s="62"/>
      <c r="I77" s="62"/>
      <c r="J77" s="62"/>
      <c r="K77" s="62"/>
      <c r="L77" s="40"/>
      <c r="M77" s="62"/>
    </row>
    <row r="78" spans="1:13" s="2" customFormat="1" ht="12.75" x14ac:dyDescent="0.2">
      <c r="A78" s="62"/>
      <c r="B78" s="62"/>
      <c r="C78" s="62"/>
      <c r="D78" s="79"/>
      <c r="E78" s="80"/>
      <c r="F78" s="36"/>
      <c r="G78" s="81"/>
      <c r="H78" s="62"/>
      <c r="I78" s="62"/>
      <c r="J78" s="62"/>
      <c r="K78" s="62"/>
      <c r="L78" s="40"/>
      <c r="M78" s="62"/>
    </row>
    <row r="79" spans="1:13" s="2" customFormat="1" ht="12.75" x14ac:dyDescent="0.2">
      <c r="A79" s="62"/>
      <c r="B79" s="62"/>
      <c r="C79" s="62"/>
      <c r="D79" s="79"/>
      <c r="E79" s="80"/>
      <c r="F79" s="36"/>
      <c r="G79" s="81"/>
      <c r="H79" s="62"/>
      <c r="I79" s="62"/>
      <c r="J79" s="62"/>
      <c r="K79" s="62"/>
      <c r="L79" s="40"/>
      <c r="M79" s="62"/>
    </row>
    <row r="80" spans="1:13" s="2" customFormat="1" ht="12.75" x14ac:dyDescent="0.2"/>
    <row r="81" spans="1:13" s="2" customFormat="1" ht="12.75" x14ac:dyDescent="0.2"/>
    <row r="83" spans="1:13" s="2" customFormat="1" ht="12.75" x14ac:dyDescent="0.2">
      <c r="A83" s="82"/>
      <c r="B83" s="82"/>
      <c r="E83" s="82"/>
      <c r="F83" s="82"/>
      <c r="G83" s="82"/>
      <c r="H83" s="83"/>
      <c r="M83" s="82"/>
    </row>
    <row r="84" spans="1:13" s="2" customFormat="1" ht="12.75" x14ac:dyDescent="0.2">
      <c r="A84" s="82"/>
      <c r="B84" s="82"/>
      <c r="E84" s="82"/>
      <c r="F84" s="82"/>
      <c r="G84" s="82"/>
      <c r="H84" s="83"/>
      <c r="M84" s="82"/>
    </row>
    <row r="85" spans="1:13" s="2" customFormat="1" ht="12.75" x14ac:dyDescent="0.2">
      <c r="A85" s="84"/>
      <c r="B85" s="84"/>
    </row>
    <row r="86" spans="1:13" s="2" customFormat="1" ht="12.75" x14ac:dyDescent="0.2">
      <c r="A86" s="85"/>
      <c r="B86" s="85"/>
      <c r="E86" s="85"/>
      <c r="F86" s="84"/>
      <c r="G86" s="84"/>
      <c r="M86" s="86"/>
    </row>
    <row r="87" spans="1:13" s="2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MH87"/>
  <sheetViews>
    <sheetView tabSelected="1" zoomScaleNormal="100" workbookViewId="0">
      <pane xSplit="2" topLeftCell="C1" activePane="topRight" state="frozen"/>
      <selection pane="topRight" activeCell="I5" sqref="I5"/>
    </sheetView>
  </sheetViews>
  <sheetFormatPr defaultColWidth="9.140625" defaultRowHeight="15" x14ac:dyDescent="0.25"/>
  <cols>
    <col min="1" max="2" width="15.140625" style="2" customWidth="1"/>
    <col min="3" max="3" width="29.28515625" style="2" customWidth="1"/>
    <col min="4" max="4" width="14.85546875" style="2" customWidth="1"/>
    <col min="5" max="5" width="27.42578125" style="2" customWidth="1"/>
    <col min="6" max="7" width="13.7109375" style="2" customWidth="1"/>
    <col min="8" max="8" width="16.5703125" style="2" customWidth="1"/>
    <col min="9" max="9" width="15.5703125" style="2" customWidth="1"/>
    <col min="10" max="10" width="13.42578125" customWidth="1"/>
    <col min="11" max="11" width="23.5703125" customWidth="1"/>
    <col min="12" max="12" width="13.42578125" customWidth="1"/>
    <col min="13" max="13" width="22.5703125" style="2" customWidth="1"/>
    <col min="14" max="16" width="10.85546875" style="2" customWidth="1"/>
    <col min="17" max="17" width="11.28515625" style="2" customWidth="1"/>
    <col min="18" max="1022" width="9.140625" style="2"/>
  </cols>
  <sheetData>
    <row r="1" spans="1:17" s="2" customFormat="1" ht="25.5" x14ac:dyDescent="0.2">
      <c r="A1" s="3"/>
      <c r="B1" s="3" t="s">
        <v>138</v>
      </c>
      <c r="C1" s="4">
        <v>44134</v>
      </c>
      <c r="D1" s="5"/>
      <c r="E1" s="6" t="s">
        <v>139</v>
      </c>
      <c r="F1" s="7"/>
      <c r="G1" s="8"/>
      <c r="K1" s="9" t="s">
        <v>140</v>
      </c>
      <c r="L1" s="9" t="s">
        <v>141</v>
      </c>
      <c r="M1" s="10" t="s">
        <v>142</v>
      </c>
    </row>
    <row r="2" spans="1:17" x14ac:dyDescent="0.25">
      <c r="A2" s="3"/>
      <c r="B2" s="3" t="s">
        <v>143</v>
      </c>
      <c r="C2" s="11">
        <v>7</v>
      </c>
      <c r="D2" s="12"/>
      <c r="E2" s="13">
        <f>SUM(E26,E41,E49,E65,E28,E67)</f>
        <v>127855695.48593573</v>
      </c>
      <c r="F2" s="14"/>
      <c r="G2" s="15"/>
      <c r="H2" s="12"/>
      <c r="I2" s="12"/>
      <c r="J2" s="12"/>
      <c r="K2" s="13">
        <f>SUM(K26,K41,K49,K65,K28,K67:K67)</f>
        <v>132680625.34625728</v>
      </c>
      <c r="L2" s="16">
        <f>SUM(L49,L65,L41,L26,L28,L67)</f>
        <v>1</v>
      </c>
      <c r="M2" s="17">
        <f>K2/$C$6</f>
        <v>7.2641829539701543</v>
      </c>
      <c r="N2" s="18"/>
    </row>
    <row r="3" spans="1:17" ht="26.25" x14ac:dyDescent="0.25">
      <c r="A3" s="3"/>
      <c r="B3" s="3" t="s">
        <v>144</v>
      </c>
      <c r="C3" s="19">
        <v>18265044.559999999</v>
      </c>
      <c r="D3" s="20"/>
      <c r="E3" s="6" t="s">
        <v>145</v>
      </c>
      <c r="F3" s="14"/>
      <c r="G3" s="15"/>
      <c r="H3" s="12"/>
      <c r="I3" s="12"/>
      <c r="J3" s="12"/>
      <c r="K3" s="6" t="s">
        <v>145</v>
      </c>
      <c r="L3" s="12"/>
      <c r="M3" s="10" t="s">
        <v>146</v>
      </c>
      <c r="N3" s="21"/>
    </row>
    <row r="4" spans="1:17" x14ac:dyDescent="0.25">
      <c r="A4" s="3"/>
      <c r="B4" s="3" t="s">
        <v>147</v>
      </c>
      <c r="C4" s="19">
        <v>0</v>
      </c>
      <c r="D4" s="20"/>
      <c r="E4" s="13">
        <f>SUM(E26,E65,E28)</f>
        <v>23972103.853128474</v>
      </c>
      <c r="F4" s="14"/>
      <c r="G4" s="15"/>
      <c r="H4" s="12"/>
      <c r="I4" s="12"/>
      <c r="J4" s="12"/>
      <c r="K4" s="13">
        <f>SUM(K26,K28,K65)</f>
        <v>24057030.225936055</v>
      </c>
      <c r="L4" s="12"/>
      <c r="M4" s="17">
        <f>K4/$C$6</f>
        <v>1.3171076668830233</v>
      </c>
      <c r="N4" s="21"/>
    </row>
    <row r="5" spans="1:17" x14ac:dyDescent="0.25">
      <c r="A5" s="3"/>
      <c r="B5" s="3" t="s">
        <v>148</v>
      </c>
      <c r="C5" s="19">
        <v>0</v>
      </c>
      <c r="D5" s="20"/>
      <c r="E5" s="14"/>
      <c r="F5" s="14"/>
      <c r="G5" s="22">
        <f>SUM(D26,D28,D41,D49,D65,D67:D67)</f>
        <v>1.000003</v>
      </c>
      <c r="H5" s="12"/>
      <c r="I5" s="12"/>
      <c r="J5" s="12"/>
      <c r="K5" s="12"/>
      <c r="L5" s="12"/>
      <c r="M5" s="12"/>
      <c r="N5" s="21"/>
    </row>
    <row r="6" spans="1:17" x14ac:dyDescent="0.25">
      <c r="A6" s="3"/>
      <c r="B6" s="3" t="s">
        <v>149</v>
      </c>
      <c r="C6" s="19">
        <f>C3+C4-C5</f>
        <v>18265044.559999999</v>
      </c>
      <c r="D6" s="20"/>
      <c r="E6" s="14"/>
      <c r="F6" s="14"/>
      <c r="G6" s="15"/>
      <c r="H6" s="12"/>
      <c r="I6" s="12"/>
      <c r="J6" s="12"/>
      <c r="K6" s="12"/>
      <c r="L6" s="12"/>
      <c r="M6" s="12"/>
      <c r="N6" s="21"/>
    </row>
    <row r="7" spans="1:17" x14ac:dyDescent="0.25">
      <c r="A7" s="23"/>
      <c r="B7" s="24"/>
      <c r="C7" s="24"/>
      <c r="D7" s="25"/>
      <c r="E7" s="26"/>
      <c r="F7" s="26"/>
      <c r="G7" s="26"/>
      <c r="H7" s="27"/>
      <c r="I7" s="27"/>
      <c r="J7" s="27"/>
      <c r="K7" s="12"/>
      <c r="L7" s="12"/>
      <c r="M7" s="12"/>
      <c r="N7" s="21"/>
    </row>
    <row r="8" spans="1:17" s="32" customFormat="1" ht="38.25" x14ac:dyDescent="0.2">
      <c r="A8" s="28" t="s">
        <v>150</v>
      </c>
      <c r="B8" s="28" t="s">
        <v>151</v>
      </c>
      <c r="C8" s="29" t="s">
        <v>1</v>
      </c>
      <c r="D8" s="29" t="s">
        <v>152</v>
      </c>
      <c r="E8" s="29" t="s">
        <v>153</v>
      </c>
      <c r="F8" s="29" t="s">
        <v>154</v>
      </c>
      <c r="G8" s="29" t="s">
        <v>155</v>
      </c>
      <c r="H8" s="29" t="s">
        <v>156</v>
      </c>
      <c r="I8" s="29" t="s">
        <v>157</v>
      </c>
      <c r="J8" s="29" t="s">
        <v>158</v>
      </c>
      <c r="K8" s="30" t="s">
        <v>159</v>
      </c>
      <c r="L8" s="30" t="s">
        <v>160</v>
      </c>
      <c r="M8" s="30" t="s">
        <v>161</v>
      </c>
      <c r="N8" s="31"/>
      <c r="Q8" s="33"/>
    </row>
    <row r="9" spans="1:17" s="43" customFormat="1" ht="12.75" x14ac:dyDescent="0.25">
      <c r="A9" s="34" t="s">
        <v>162</v>
      </c>
      <c r="B9" s="34" t="s">
        <v>46</v>
      </c>
      <c r="C9" s="34" t="s">
        <v>47</v>
      </c>
      <c r="D9" s="35">
        <v>1.2145E-2</v>
      </c>
      <c r="E9" s="36">
        <f>'Oct 30'!$D9*$C$6*$C$2</f>
        <v>1552802.7632683998</v>
      </c>
      <c r="F9" s="36">
        <f>INDEX('TWS data'!M:M,MATCH(Table13895845679910111213144562678910111213141516171819202134567891011121314151617181920212223[[#This Row],[IB Ticker]],'TWS data'!B:B,0))</f>
        <v>515</v>
      </c>
      <c r="G9" s="37">
        <f>'Oct 30'!$E9/'Oct 30'!$F9</f>
        <v>3015.1509966376693</v>
      </c>
      <c r="H9" s="34">
        <f>INDEX('TWS data'!F:F,MATCH(Table13895845679910111213144562678910111213141516171819202134567891011121314151617181920212223[[#This Row],[IB Ticker]],'TWS data'!B:B,0))</f>
        <v>3388</v>
      </c>
      <c r="I9" s="34">
        <f>ROUND(Table13895845679910111213144562678910111213141516171819202134567891011121314151617181920212223[[#This Row],[Target Quantity]],0)</f>
        <v>3015</v>
      </c>
      <c r="J9" s="38">
        <f t="shared" ref="J9:J24" si="0">I9-H9</f>
        <v>-373</v>
      </c>
      <c r="K9" s="39">
        <f>'Oct 30'!$F9*'Oct 30'!$I9</f>
        <v>1552725</v>
      </c>
      <c r="L9" s="40">
        <f>'Oct 30'!$K9/$K$2</f>
        <v>1.1702725970335502E-2</v>
      </c>
      <c r="M9" s="41"/>
      <c r="N9" s="42"/>
      <c r="O9" s="87"/>
    </row>
    <row r="10" spans="1:17" s="43" customFormat="1" ht="12.75" customHeight="1" x14ac:dyDescent="0.25">
      <c r="A10" s="34" t="s">
        <v>162</v>
      </c>
      <c r="B10" s="34" t="s">
        <v>55</v>
      </c>
      <c r="C10" s="34" t="s">
        <v>56</v>
      </c>
      <c r="D10" s="35">
        <v>1.2145E-2</v>
      </c>
      <c r="E10" s="36">
        <f>'Oct 30'!$D10*$C$6*$C$2</f>
        <v>1552802.7632683998</v>
      </c>
      <c r="F10" s="36">
        <f>INDEX('TWS data'!M:M,MATCH(Table13895845679910111213144562678910111213141516171819202134567891011121314151617181920212223[[#This Row],[IB Ticker]],'TWS data'!B:B,0))</f>
        <v>403.35001185677021</v>
      </c>
      <c r="G10" s="37">
        <f>'Oct 30'!$E10/'Oct 30'!$F10</f>
        <v>3849.7650120803783</v>
      </c>
      <c r="H10" s="34">
        <f>INDEX('TWS data'!F:F,MATCH(Table13895845679910111213144562678910111213141516171819202134567891011121314151617181920212223[[#This Row],[IB Ticker]],'TWS data'!B:B,0))</f>
        <v>4217</v>
      </c>
      <c r="I10" s="34">
        <f>ROUND(Table13895845679910111213144562678910111213141516171819202134567891011121314151617181920212223[[#This Row],[Target Quantity]],0)</f>
        <v>3850</v>
      </c>
      <c r="J10" s="38">
        <f t="shared" si="0"/>
        <v>-367</v>
      </c>
      <c r="K10" s="39">
        <f>'Oct 30'!$F10*'Oct 30'!$I10</f>
        <v>1552897.5456485653</v>
      </c>
      <c r="L10" s="40">
        <f>'Oct 30'!$K10/$K$2</f>
        <v>1.1704026428847172E-2</v>
      </c>
      <c r="M10" s="41"/>
    </row>
    <row r="11" spans="1:17" s="43" customFormat="1" ht="12.75" customHeight="1" x14ac:dyDescent="0.25">
      <c r="A11" s="34" t="s">
        <v>162</v>
      </c>
      <c r="B11" s="34" t="s">
        <v>37</v>
      </c>
      <c r="C11" s="34" t="s">
        <v>38</v>
      </c>
      <c r="D11" s="35">
        <v>1.2145E-2</v>
      </c>
      <c r="E11" s="36">
        <f>'Oct 30'!$D11*$C$6*$C$2</f>
        <v>1552802.7632683998</v>
      </c>
      <c r="F11" s="36">
        <f>INDEX('TWS data'!M:M,MATCH(Table13895845679910111213144562678910111213141516171819202134567891011121314151617181920212223[[#This Row],[IB Ticker]],'TWS data'!B:B,0))</f>
        <v>81.219987783677112</v>
      </c>
      <c r="G11" s="37">
        <f>'Oct 30'!$E11/'Oct 30'!$F11</f>
        <v>19118.48063070589</v>
      </c>
      <c r="H11" s="34">
        <f>INDEX('TWS data'!F:F,MATCH(Table13895845679910111213144562678910111213141516171819202134567891011121314151617181920212223[[#This Row],[IB Ticker]],'TWS data'!B:B,0))</f>
        <v>21283</v>
      </c>
      <c r="I11" s="34">
        <f>ROUND(Table13895845679910111213144562678910111213141516171819202134567891011121314151617181920212223[[#This Row],[Target Quantity]],0)</f>
        <v>19118</v>
      </c>
      <c r="J11" s="38">
        <f t="shared" si="0"/>
        <v>-2165</v>
      </c>
      <c r="K11" s="39">
        <f>'Oct 30'!$F11*'Oct 30'!$I11</f>
        <v>1552763.7264483389</v>
      </c>
      <c r="L11" s="40">
        <f>'Oct 30'!$K11/$K$2</f>
        <v>1.1703017847527352E-2</v>
      </c>
      <c r="M11" s="41"/>
    </row>
    <row r="12" spans="1:17" s="44" customFormat="1" ht="12.75" customHeight="1" x14ac:dyDescent="0.25">
      <c r="A12" s="34" t="s">
        <v>162</v>
      </c>
      <c r="B12" s="34" t="s">
        <v>23</v>
      </c>
      <c r="C12" s="34" t="s">
        <v>24</v>
      </c>
      <c r="D12" s="35">
        <v>1.2145E-2</v>
      </c>
      <c r="E12" s="36">
        <f>'Oct 30'!$D12*$C$6*$C$2</f>
        <v>1552802.7632683998</v>
      </c>
      <c r="F12" s="36">
        <f>INDEX('TWS data'!M:M,MATCH(Table13895845679910111213144562678910111213141516171819202134567891011121314151617181920212223[[#This Row],[IB Ticker]],'TWS data'!B:B,0))</f>
        <v>210</v>
      </c>
      <c r="G12" s="37">
        <f>'Oct 30'!$E12/'Oct 30'!$F12</f>
        <v>7394.2988727066659</v>
      </c>
      <c r="H12" s="34">
        <f>INDEX('TWS data'!F:F,MATCH(Table13895845679910111213144562678910111213141516171819202134567891011121314151617181920212223[[#This Row],[IB Ticker]],'TWS data'!B:B,0))</f>
        <v>7948</v>
      </c>
      <c r="I12" s="34">
        <f>ROUND(Table13895845679910111213144562678910111213141516171819202134567891011121314151617181920212223[[#This Row],[Target Quantity]],0)</f>
        <v>7394</v>
      </c>
      <c r="J12" s="38">
        <f t="shared" si="0"/>
        <v>-554</v>
      </c>
      <c r="K12" s="39">
        <f>'Oct 30'!$F12*'Oct 30'!$I12</f>
        <v>1552740</v>
      </c>
      <c r="L12" s="40">
        <f>'Oct 30'!$K12/$K$2</f>
        <v>1.1702839023767085E-2</v>
      </c>
      <c r="M12" s="34"/>
    </row>
    <row r="13" spans="1:17" s="44" customFormat="1" ht="12.75" customHeight="1" x14ac:dyDescent="0.25">
      <c r="A13" s="34" t="s">
        <v>162</v>
      </c>
      <c r="B13" s="34" t="s">
        <v>60</v>
      </c>
      <c r="C13" s="34" t="s">
        <v>61</v>
      </c>
      <c r="D13" s="35">
        <v>1.2145E-2</v>
      </c>
      <c r="E13" s="36">
        <f>'Oct 30'!$D13*$C$6*$C$2</f>
        <v>1552802.7632683998</v>
      </c>
      <c r="F13" s="36">
        <f>INDEX('TWS data'!M:M,MATCH(Table13895845679910111213144562678910111213141516171819202134567891011121314151617181920212223[[#This Row],[IB Ticker]],'TWS data'!B:B,0))</f>
        <v>484</v>
      </c>
      <c r="G13" s="37">
        <f>'Oct 30'!$E13/'Oct 30'!$F13</f>
        <v>3208.2701720421483</v>
      </c>
      <c r="H13" s="34">
        <f>INDEX('TWS data'!F:F,MATCH(Table13895845679910111213144562678910111213141516171819202134567891011121314151617181920212223[[#This Row],[IB Ticker]],'TWS data'!B:B,0))</f>
        <v>3336</v>
      </c>
      <c r="I13" s="34">
        <f>ROUND(Table13895845679910111213144562678910111213141516171819202134567891011121314151617181920212223[[#This Row],[Target Quantity]],0)</f>
        <v>3208</v>
      </c>
      <c r="J13" s="38">
        <f t="shared" si="0"/>
        <v>-128</v>
      </c>
      <c r="K13" s="39">
        <f>'Oct 30'!$F13*'Oct 30'!$I13</f>
        <v>1552672</v>
      </c>
      <c r="L13" s="40">
        <f>'Oct 30'!$K13/$K$2</f>
        <v>1.1702326514877242E-2</v>
      </c>
      <c r="M13" s="34"/>
    </row>
    <row r="14" spans="1:17" s="44" customFormat="1" ht="12.75" customHeight="1" x14ac:dyDescent="0.25">
      <c r="A14" s="34" t="s">
        <v>162</v>
      </c>
      <c r="B14" s="34" t="s">
        <v>43</v>
      </c>
      <c r="C14" s="34" t="s">
        <v>44</v>
      </c>
      <c r="D14" s="35">
        <v>1.2145E-2</v>
      </c>
      <c r="E14" s="36">
        <f>'Oct 30'!$D14*$C$6*$C$2</f>
        <v>1552802.7632683998</v>
      </c>
      <c r="F14" s="36">
        <f>INDEX('TWS data'!M:M,MATCH(Table13895845679910111213144562678910111213141516171819202134567891011121314151617181920212223[[#This Row],[IB Ticker]],'TWS data'!B:B,0))</f>
        <v>1300.9801762114537</v>
      </c>
      <c r="G14" s="37">
        <f>'Oct 30'!$E14/'Oct 30'!$F14</f>
        <v>1193.5637388344157</v>
      </c>
      <c r="H14" s="34">
        <f>INDEX('TWS data'!F:F,MATCH(Table13895845679910111213144562678910111213141516171819202134567891011121314151617181920212223[[#This Row],[IB Ticker]],'TWS data'!B:B,0))</f>
        <v>1362</v>
      </c>
      <c r="I14" s="34">
        <f>ROUND(Table13895845679910111213144562678910111213141516171819202134567891011121314151617181920212223[[#This Row],[Target Quantity]],0)</f>
        <v>1194</v>
      </c>
      <c r="J14" s="38">
        <f t="shared" si="0"/>
        <v>-168</v>
      </c>
      <c r="K14" s="39">
        <f>'Oct 30'!$F14*'Oct 30'!$I14</f>
        <v>1553370.3303964757</v>
      </c>
      <c r="L14" s="40">
        <f>'Oct 30'!$K14/$K$2</f>
        <v>1.1707589758057271E-2</v>
      </c>
      <c r="M14" s="34"/>
    </row>
    <row r="15" spans="1:17" s="44" customFormat="1" ht="12.75" customHeight="1" x14ac:dyDescent="0.25">
      <c r="A15" s="34" t="s">
        <v>162</v>
      </c>
      <c r="B15" s="34" t="s">
        <v>28</v>
      </c>
      <c r="C15" s="34" t="s">
        <v>29</v>
      </c>
      <c r="D15" s="35">
        <v>1.2145E-2</v>
      </c>
      <c r="E15" s="36">
        <f>'Oct 30'!$D15*$C$6*$C$2</f>
        <v>1552802.7632683998</v>
      </c>
      <c r="F15" s="36">
        <f>INDEX('TWS data'!M:M,MATCH(Table13895845679910111213144562678910111213141516171819202134567891011121314151617181920212223[[#This Row],[IB Ticker]],'TWS data'!B:B,0))</f>
        <v>263</v>
      </c>
      <c r="G15" s="37">
        <f>'Oct 30'!$E15/'Oct 30'!$F15</f>
        <v>5904.1930162296567</v>
      </c>
      <c r="H15" s="34">
        <f>INDEX('TWS data'!F:F,MATCH(Table13895845679910111213144562678910111213141516171819202134567891011121314151617181920212223[[#This Row],[IB Ticker]],'TWS data'!B:B,0))</f>
        <v>6672</v>
      </c>
      <c r="I15" s="34">
        <f>ROUND(Table13895845679910111213144562678910111213141516171819202134567891011121314151617181920212223[[#This Row],[Target Quantity]],0)</f>
        <v>5904</v>
      </c>
      <c r="J15" s="38">
        <f t="shared" si="0"/>
        <v>-768</v>
      </c>
      <c r="K15" s="39">
        <f>'Oct 30'!$F15*'Oct 30'!$I15</f>
        <v>1552752</v>
      </c>
      <c r="L15" s="40">
        <f>'Oct 30'!$K15/$K$2</f>
        <v>1.1702929466512352E-2</v>
      </c>
      <c r="M15" s="34"/>
    </row>
    <row r="16" spans="1:17" s="44" customFormat="1" ht="12.75" customHeight="1" x14ac:dyDescent="0.25">
      <c r="A16" s="34" t="s">
        <v>162</v>
      </c>
      <c r="B16" s="34" t="s">
        <v>19</v>
      </c>
      <c r="C16" s="34" t="s">
        <v>20</v>
      </c>
      <c r="D16" s="35">
        <v>9.1090000000000008E-3</v>
      </c>
      <c r="E16" s="36">
        <f>'Oct 30'!$D16*$C$6*$C$2</f>
        <v>1164634.03627928</v>
      </c>
      <c r="F16" s="36">
        <f>INDEX('TWS data'!M:M,MATCH(Table13895845679910111213144562678910111213141516171819202134567891011121314151617181920212223[[#This Row],[IB Ticker]],'TWS data'!B:B,0))</f>
        <v>1230.3699421965318</v>
      </c>
      <c r="G16" s="37">
        <f>'Oct 30'!$E16/'Oct 30'!$F16</f>
        <v>946.57224330440317</v>
      </c>
      <c r="H16" s="34">
        <f>INDEX('TWS data'!F:F,MATCH(Table13895845679910111213144562678910111213141516171819202134567891011121314151617181920212223[[#This Row],[IB Ticker]],'TWS data'!B:B,0))</f>
        <v>1038</v>
      </c>
      <c r="I16" s="34">
        <f>ROUND(Table13895845679910111213144562678910111213141516171819202134567891011121314151617181920212223[[#This Row],[Target Quantity]],0)</f>
        <v>947</v>
      </c>
      <c r="J16" s="38">
        <f t="shared" si="0"/>
        <v>-91</v>
      </c>
      <c r="K16" s="39">
        <f>'Oct 30'!$F16*'Oct 30'!$I16</f>
        <v>1165160.3352601156</v>
      </c>
      <c r="L16" s="40">
        <f>'Oct 30'!$K16/$K$2</f>
        <v>8.7816916163862731E-3</v>
      </c>
      <c r="M16" s="34"/>
    </row>
    <row r="17" spans="1:15" s="44" customFormat="1" ht="12.75" customHeight="1" x14ac:dyDescent="0.25">
      <c r="A17" s="34" t="s">
        <v>162</v>
      </c>
      <c r="B17" s="34" t="s">
        <v>25</v>
      </c>
      <c r="C17" s="34" t="s">
        <v>26</v>
      </c>
      <c r="D17" s="35">
        <v>6.0730000000000003E-3</v>
      </c>
      <c r="E17" s="36">
        <f>'Oct 30'!$D17*$C$6*$C$2</f>
        <v>776465.30929015996</v>
      </c>
      <c r="F17" s="36">
        <f>INDEX('TWS data'!M:M,MATCH(Table13895845679910111213144562678910111213141516171819202134567891011121314151617181920212223[[#This Row],[IB Ticker]],'TWS data'!B:B,0))</f>
        <v>17.479996110084606</v>
      </c>
      <c r="G17" s="37">
        <f>'Oct 30'!$E17/'Oct 30'!$F17</f>
        <v>44420.222087017486</v>
      </c>
      <c r="H17" s="34">
        <f>INDEX('TWS data'!F:F,MATCH(Table13895845679910111213144562678910111213141516171819202134567891011121314151617181920212223[[#This Row],[IB Ticker]],'TWS data'!B:B,0))</f>
        <v>51415</v>
      </c>
      <c r="I17" s="34">
        <f>ROUND(Table13895845679910111213144562678910111213141516171819202134567891011121314151617181920212223[[#This Row],[Target Quantity]],0)</f>
        <v>44420</v>
      </c>
      <c r="J17" s="38">
        <f t="shared" si="0"/>
        <v>-6995</v>
      </c>
      <c r="K17" s="39">
        <f>'Oct 30'!$F17*'Oct 30'!$I17</f>
        <v>776461.4272099582</v>
      </c>
      <c r="L17" s="40">
        <f>'Oct 30'!$K17/$K$2</f>
        <v>5.8521085892052661E-3</v>
      </c>
      <c r="M17" s="34"/>
    </row>
    <row r="18" spans="1:15" s="44" customFormat="1" ht="12.75" customHeight="1" x14ac:dyDescent="0.25">
      <c r="A18" s="34" t="s">
        <v>162</v>
      </c>
      <c r="B18" s="34" t="s">
        <v>40</v>
      </c>
      <c r="C18" s="34" t="s">
        <v>41</v>
      </c>
      <c r="D18" s="35">
        <v>6.0730000000000003E-3</v>
      </c>
      <c r="E18" s="36">
        <f>'Oct 30'!$D18*$C$6*$C$2</f>
        <v>776465.30929015996</v>
      </c>
      <c r="F18" s="36">
        <f>INDEX('TWS data'!M:M,MATCH(Table13895845679910111213144562678910111213141516171819202134567891011121314151617181920212223[[#This Row],[IB Ticker]],'TWS data'!B:B,0))</f>
        <v>32.870010045016556</v>
      </c>
      <c r="G18" s="37">
        <f>'Oct 30'!$E18/'Oct 30'!$F18</f>
        <v>23622.302160138232</v>
      </c>
      <c r="H18" s="34">
        <f>INDEX('TWS data'!F:F,MATCH(Table13895845679910111213144562678910111213141516171819202134567891011121314151617181920212223[[#This Row],[IB Ticker]],'TWS data'!B:B,0))</f>
        <v>26879</v>
      </c>
      <c r="I18" s="34">
        <f>ROUND(Table13895845679910111213144562678910111213141516171819202134567891011121314151617181920212223[[#This Row],[Target Quantity]],0)</f>
        <v>23622</v>
      </c>
      <c r="J18" s="38">
        <f t="shared" si="0"/>
        <v>-3257</v>
      </c>
      <c r="K18" s="39">
        <f>'Oct 30'!$F18*'Oct 30'!$I18</f>
        <v>776455.37728338107</v>
      </c>
      <c r="L18" s="40">
        <f>'Oct 30'!$K18/$K$2</f>
        <v>5.8520629915412414E-3</v>
      </c>
      <c r="M18" s="34"/>
    </row>
    <row r="19" spans="1:15" s="44" customFormat="1" ht="12.75" customHeight="1" x14ac:dyDescent="0.25">
      <c r="A19" s="34" t="s">
        <v>162</v>
      </c>
      <c r="B19" s="34" t="s">
        <v>11</v>
      </c>
      <c r="C19" s="34" t="s">
        <v>12</v>
      </c>
      <c r="D19" s="35">
        <v>9.1090000000000008E-3</v>
      </c>
      <c r="E19" s="36">
        <f>'Oct 30'!$D19*$C$6*$C$2</f>
        <v>1164634.03627928</v>
      </c>
      <c r="F19" s="36">
        <f>INDEX('TWS data'!M:M,MATCH(Table13895845679910111213144562678910111213141516171819202134567891011121314151617181920212223[[#This Row],[IB Ticker]],'TWS data'!B:B,0))</f>
        <v>436.56993243243244</v>
      </c>
      <c r="G19" s="37">
        <f>'Oct 30'!$E19/'Oct 30'!$F19</f>
        <v>2667.6918169565638</v>
      </c>
      <c r="H19" s="34">
        <f>INDEX('TWS data'!F:F,MATCH(Table13895845679910111213144562678910111213141516171819202134567891011121314151617181920212223[[#This Row],[IB Ticker]],'TWS data'!B:B,0))</f>
        <v>2960</v>
      </c>
      <c r="I19" s="34">
        <f>ROUND(Table13895845679910111213144562678910111213141516171819202134567891011121314151617181920212223[[#This Row],[Target Quantity]],0)</f>
        <v>2668</v>
      </c>
      <c r="J19" s="38">
        <f t="shared" si="0"/>
        <v>-292</v>
      </c>
      <c r="K19" s="39">
        <f>'Oct 30'!$F19*'Oct 30'!$I19</f>
        <v>1164768.5797297298</v>
      </c>
      <c r="L19" s="40">
        <f>'Oct 30'!$K19/$K$2</f>
        <v>8.7787389959161511E-3</v>
      </c>
      <c r="M19" s="34"/>
    </row>
    <row r="20" spans="1:15" s="44" customFormat="1" ht="12.75" customHeight="1" x14ac:dyDescent="0.25">
      <c r="A20" s="34" t="s">
        <v>162</v>
      </c>
      <c r="B20" s="34" t="s">
        <v>52</v>
      </c>
      <c r="C20" s="34" t="s">
        <v>53</v>
      </c>
      <c r="D20" s="35">
        <v>1.2145E-2</v>
      </c>
      <c r="E20" s="36">
        <f>'Oct 30'!$D20*$C$6*$C$2</f>
        <v>1552802.7632683998</v>
      </c>
      <c r="F20" s="36">
        <f>INDEX('TWS data'!M:M,MATCH(Table13895845679910111213144562678910111213141516171819202134567891011121314151617181920212223[[#This Row],[IB Ticker]],'TWS data'!B:B,0))</f>
        <v>193.99002689376962</v>
      </c>
      <c r="G20" s="37">
        <f>'Oct 30'!$E20/'Oct 30'!$F20</f>
        <v>8004.5494509814471</v>
      </c>
      <c r="H20" s="34">
        <f>INDEX('TWS data'!F:F,MATCH(Table13895845679910111213144562678910111213141516171819202134567891011121314151617181920212223[[#This Row],[IB Ticker]],'TWS data'!B:B,0))</f>
        <v>8924</v>
      </c>
      <c r="I20" s="34">
        <f>ROUND(Table13895845679910111213144562678910111213141516171819202134567891011121314151617181920212223[[#This Row],[Target Quantity]],0)</f>
        <v>8005</v>
      </c>
      <c r="J20" s="38">
        <f t="shared" si="0"/>
        <v>-919</v>
      </c>
      <c r="K20" s="39">
        <f>'Oct 30'!$F20*'Oct 30'!$I20</f>
        <v>1552890.165284626</v>
      </c>
      <c r="L20" s="40">
        <f>'Oct 30'!$K20/$K$2</f>
        <v>1.170397080381586E-2</v>
      </c>
      <c r="M20" s="34"/>
    </row>
    <row r="21" spans="1:15" s="44" customFormat="1" ht="12.75" customHeight="1" x14ac:dyDescent="0.25">
      <c r="A21" s="34" t="s">
        <v>162</v>
      </c>
      <c r="B21" s="34" t="s">
        <v>31</v>
      </c>
      <c r="C21" s="34" t="s">
        <v>32</v>
      </c>
      <c r="D21" s="35">
        <v>6.0730000000000003E-3</v>
      </c>
      <c r="E21" s="36">
        <f>'Oct 30'!$D21*$C$6*$C$2</f>
        <v>776465.30929015996</v>
      </c>
      <c r="F21" s="36">
        <f>INDEX('TWS data'!M:M,MATCH(Table13895845679910111213144562678910111213141516171819202134567891011121314151617181920212223[[#This Row],[IB Ticker]],'TWS data'!B:B,0))</f>
        <v>19.640009826034525</v>
      </c>
      <c r="G21" s="37">
        <f>'Oct 30'!$E21/'Oct 30'!$F21</f>
        <v>39534.873768794569</v>
      </c>
      <c r="H21" s="34">
        <f>INDEX('TWS data'!F:F,MATCH(Table13895845679910111213144562678910111213141516171819202134567891011121314151617181920212223[[#This Row],[IB Ticker]],'TWS data'!B:B,0))</f>
        <v>44779</v>
      </c>
      <c r="I21" s="34">
        <f>ROUND(Table13895845679910111213144562678910111213141516171819202134567891011121314151617181920212223[[#This Row],[Target Quantity]],0)</f>
        <v>39535</v>
      </c>
      <c r="J21" s="38">
        <f t="shared" si="0"/>
        <v>-5244</v>
      </c>
      <c r="K21" s="39">
        <f>'Oct 30'!$F21*'Oct 30'!$I21</f>
        <v>776467.7884722749</v>
      </c>
      <c r="L21" s="40">
        <f>'Oct 30'!$K21/$K$2</f>
        <v>5.8521565333742066E-3</v>
      </c>
      <c r="M21" s="34"/>
    </row>
    <row r="22" spans="1:15" s="44" customFormat="1" ht="12.75" customHeight="1" x14ac:dyDescent="0.25">
      <c r="A22" s="34" t="s">
        <v>162</v>
      </c>
      <c r="B22" s="34" t="s">
        <v>16</v>
      </c>
      <c r="C22" s="34" t="s">
        <v>17</v>
      </c>
      <c r="D22" s="35">
        <v>1.2145E-2</v>
      </c>
      <c r="E22" s="36">
        <f>'Oct 30'!$D22*$C$6*$C$2</f>
        <v>1552802.7632683998</v>
      </c>
      <c r="F22" s="36">
        <f>INDEX('TWS data'!M:M,MATCH(Table13895845679910111213144562678910111213141516171819202134567891011121314151617181920212223[[#This Row],[IB Ticker]],'TWS data'!B:B,0))</f>
        <v>34.069992340099581</v>
      </c>
      <c r="G22" s="37">
        <f>'Oct 30'!$E22/'Oct 30'!$F22</f>
        <v>45576.84509487803</v>
      </c>
      <c r="H22" s="34">
        <f>INDEX('TWS data'!F:F,MATCH(Table13895845679910111213144562678910111213141516171819202134567891011121314151617181920212223[[#This Row],[IB Ticker]],'TWS data'!B:B,0))</f>
        <v>52220</v>
      </c>
      <c r="I22" s="34">
        <f>ROUND(Table13895845679910111213144562678910111213141516171819202134567891011121314151617181920212223[[#This Row],[Target Quantity]],0)</f>
        <v>45577</v>
      </c>
      <c r="J22" s="38">
        <f t="shared" si="0"/>
        <v>-6643</v>
      </c>
      <c r="K22" s="39">
        <f>'Oct 30'!$F22*'Oct 30'!$I22</f>
        <v>1552808.0408847185</v>
      </c>
      <c r="L22" s="40">
        <f>'Oct 30'!$K22/$K$2</f>
        <v>1.1703351840800779E-2</v>
      </c>
      <c r="M22" s="34"/>
    </row>
    <row r="23" spans="1:15" s="44" customFormat="1" ht="12.75" customHeight="1" x14ac:dyDescent="0.25">
      <c r="A23" s="34" t="s">
        <v>162</v>
      </c>
      <c r="B23" s="34" t="s">
        <v>57</v>
      </c>
      <c r="C23" s="34" t="s">
        <v>58</v>
      </c>
      <c r="D23" s="35">
        <v>6.0730000000000003E-3</v>
      </c>
      <c r="E23" s="36">
        <f>'Oct 30'!$D23*$C$6*$C$2</f>
        <v>776465.30929015996</v>
      </c>
      <c r="F23" s="36">
        <f>INDEX('TWS data'!M:M,MATCH(Table13895845679910111213144562678910111213141516171819202134567891011121314151617181920212223[[#This Row],[IB Ticker]],'TWS data'!B:B,0))</f>
        <v>186.37996958505323</v>
      </c>
      <c r="G23" s="37">
        <f>'Oct 30'!$E23/'Oct 30'!$F23</f>
        <v>4166.034102370777</v>
      </c>
      <c r="H23" s="34">
        <f>INDEX('TWS data'!F:F,MATCH(Table13895845679910111213144562678910111213141516171819202134567891011121314151617181920212223[[#This Row],[IB Ticker]],'TWS data'!B:B,0))</f>
        <v>4603</v>
      </c>
      <c r="I23" s="34">
        <f>ROUND(Table13895845679910111213144562678910111213141516171819202134567891011121314151617181920212223[[#This Row],[Target Quantity]],0)</f>
        <v>4166</v>
      </c>
      <c r="J23" s="38">
        <f t="shared" si="0"/>
        <v>-437</v>
      </c>
      <c r="K23" s="39">
        <f>'Oct 30'!$F23*'Oct 30'!$I23</f>
        <v>776458.95329133177</v>
      </c>
      <c r="L23" s="40">
        <f>'Oct 30'!$K23/$K$2</f>
        <v>5.8520899435392541E-3</v>
      </c>
      <c r="M23" s="34"/>
    </row>
    <row r="24" spans="1:15" s="44" customFormat="1" ht="12.75" customHeight="1" x14ac:dyDescent="0.25">
      <c r="A24" s="34" t="s">
        <v>162</v>
      </c>
      <c r="B24" s="34" t="s">
        <v>49</v>
      </c>
      <c r="C24" s="34" t="s">
        <v>50</v>
      </c>
      <c r="D24" s="35">
        <v>6.0730000000000003E-3</v>
      </c>
      <c r="E24" s="36">
        <f>'Oct 30'!$D24*$C$6*$C$2</f>
        <v>776465.30929015996</v>
      </c>
      <c r="F24" s="36">
        <f>INDEX('TWS data'!M:M,MATCH(Table13895845679910111213144562678910111213141516171819202134567891011121314151617181920212223[[#This Row],[IB Ticker]],'TWS data'!B:B,0))</f>
        <v>62.659998596195692</v>
      </c>
      <c r="G24" s="37">
        <f>'Oct 30'!$E24/'Oct 30'!$F24</f>
        <v>12391.722417582401</v>
      </c>
      <c r="H24" s="34">
        <f>INDEX('TWS data'!F:F,MATCH(Table13895845679910111213144562678910111213141516171819202134567891011121314151617181920212223[[#This Row],[IB Ticker]],'TWS data'!B:B,0))</f>
        <v>14247</v>
      </c>
      <c r="I24" s="34">
        <f>ROUND(Table13895845679910111213144562678910111213141516171819202134567891011121314151617181920212223[[#This Row],[Target Quantity]],0)</f>
        <v>12392</v>
      </c>
      <c r="J24" s="38">
        <f t="shared" si="0"/>
        <v>-1855</v>
      </c>
      <c r="K24" s="39">
        <f>'Oct 30'!$F24*'Oct 30'!$I24</f>
        <v>776482.70260405703</v>
      </c>
      <c r="L24" s="40">
        <f>'Oct 30'!$K24/$K$2</f>
        <v>5.8522689396260097E-3</v>
      </c>
      <c r="M24" s="34"/>
    </row>
    <row r="25" spans="1:15" s="44" customFormat="1" ht="12.75" customHeight="1" x14ac:dyDescent="0.25">
      <c r="A25" s="34"/>
      <c r="B25" s="34"/>
      <c r="C25" s="34"/>
      <c r="D25" s="35"/>
      <c r="E25" s="36"/>
      <c r="F25" s="36"/>
      <c r="G25" s="37"/>
      <c r="H25" s="34"/>
      <c r="I25" s="34"/>
      <c r="J25" s="45"/>
      <c r="K25" s="36"/>
      <c r="L25" s="46"/>
      <c r="M25" s="34"/>
    </row>
    <row r="26" spans="1:15" s="53" customFormat="1" ht="12.75" customHeight="1" x14ac:dyDescent="0.25">
      <c r="A26" s="47" t="s">
        <v>175</v>
      </c>
      <c r="B26" s="47"/>
      <c r="C26" s="47"/>
      <c r="D26" s="48">
        <f>SUM(D9:D25)</f>
        <v>0.15788799999999997</v>
      </c>
      <c r="E26" s="49">
        <f>'Oct 30'!$D26*$C$6*$C$2</f>
        <v>20186819.488424953</v>
      </c>
      <c r="F26" s="50"/>
      <c r="G26" s="50"/>
      <c r="H26" s="47"/>
      <c r="I26" s="47"/>
      <c r="J26" s="51"/>
      <c r="K26" s="49">
        <f>SUM(K9:K25)</f>
        <v>20187873.972513571</v>
      </c>
      <c r="L26" s="52">
        <f>'Oct 30'!$K26/$K$2</f>
        <v>0.15215389526412901</v>
      </c>
      <c r="M26" s="47"/>
    </row>
    <row r="27" spans="1:15" s="44" customFormat="1" ht="12.75" customHeight="1" x14ac:dyDescent="0.25">
      <c r="A27" s="34"/>
      <c r="B27" s="34"/>
      <c r="C27" s="34"/>
      <c r="D27" s="35"/>
      <c r="E27" s="36"/>
      <c r="F27" s="36"/>
      <c r="G27" s="37"/>
      <c r="H27" s="34"/>
      <c r="I27" s="34"/>
      <c r="J27" s="45"/>
      <c r="K27" s="36"/>
      <c r="L27" s="40"/>
      <c r="M27" s="34"/>
    </row>
    <row r="28" spans="1:15" s="43" customFormat="1" ht="12.75" customHeight="1" x14ac:dyDescent="0.25">
      <c r="A28" s="54"/>
      <c r="B28" s="47" t="s">
        <v>34</v>
      </c>
      <c r="C28" s="54" t="s">
        <v>35</v>
      </c>
      <c r="D28" s="55">
        <v>1.9736E-2</v>
      </c>
      <c r="E28" s="56">
        <f>'Oct 30'!$D28*$C$6*$C$2</f>
        <v>2523352.4360531196</v>
      </c>
      <c r="F28" s="50">
        <f>INDEX('TWS data'!M:M,MATCH(Table13895845679910111213144562678910111213141516171819202134567891011121314151617181920212223[[#This Row],[IB Ticker]],'TWS data'!B:B,0))</f>
        <v>17.875001638935871</v>
      </c>
      <c r="G28" s="57">
        <f>'Oct 30'!$E28/'Oct 30'!$F28</f>
        <v>141166.55690574466</v>
      </c>
      <c r="H28" s="54">
        <f>INDEX('TWS data'!F:F,MATCH(Table13895845679910111213144562678910111213141516171819202134567891011121314151617181920212223[[#This Row],[IB Ticker]],'TWS data'!B:B,0))</f>
        <v>152538</v>
      </c>
      <c r="I28" s="54">
        <f>ROUND(Table13895845679910111213144562678910111213141516171819202134567891011121314151617181920212223[[#This Row],[Target Quantity]],0)</f>
        <v>141167</v>
      </c>
      <c r="J28" s="58">
        <f>I28-H28</f>
        <v>-11371</v>
      </c>
      <c r="K28" s="59">
        <f>'Oct 30'!$F28*'Oct 30'!$I28</f>
        <v>2523360.3563636602</v>
      </c>
      <c r="L28" s="52">
        <f>'Oct 30'!$K28/$K$2</f>
        <v>1.9018303160528782E-2</v>
      </c>
      <c r="M28" s="47"/>
      <c r="O28" s="42"/>
    </row>
    <row r="29" spans="1:15" s="43" customFormat="1" ht="12.75" customHeight="1" x14ac:dyDescent="0.25">
      <c r="A29" s="34"/>
      <c r="B29" s="34"/>
      <c r="C29" s="34"/>
      <c r="D29" s="35"/>
      <c r="E29" s="36"/>
      <c r="F29" s="36"/>
      <c r="G29" s="37"/>
      <c r="H29" s="34"/>
      <c r="I29" s="34"/>
      <c r="J29" s="45"/>
      <c r="K29" s="39"/>
      <c r="L29" s="40"/>
      <c r="M29" s="34"/>
      <c r="O29" s="42"/>
    </row>
    <row r="30" spans="1:15" s="2" customFormat="1" ht="25.5" x14ac:dyDescent="0.2">
      <c r="A30" s="34" t="s">
        <v>176</v>
      </c>
      <c r="B30" s="60" t="s">
        <v>109</v>
      </c>
      <c r="C30" s="61" t="s">
        <v>110</v>
      </c>
      <c r="D30" s="35">
        <v>3.0589999999999999E-2</v>
      </c>
      <c r="E30" s="36">
        <f>'Oct 30'!$D30*$C$6*$C$2</f>
        <v>3911093.9916327996</v>
      </c>
      <c r="F30" s="36">
        <f>INDEX('TWS data'!M:M,MATCH(Table13895845679910111213144562678910111213141516171819202134567891011121314151617181920212223[[#This Row],[IB Ticker]],'TWS data'!B:B,0))</f>
        <v>157759.96153846153</v>
      </c>
      <c r="G30" s="37">
        <f>'Oct 30'!$E30/'Oct 30'!$F30</f>
        <v>24.791423333855743</v>
      </c>
      <c r="H30" s="34">
        <f>INDEX('TWS data'!F:F,MATCH(Table13895845679910111213144562678910111213141516171819202134567891011121314151617181920212223[[#This Row],[IB Ticker]],'TWS data'!B:B,0))</f>
        <v>26</v>
      </c>
      <c r="I30" s="34">
        <v>25</v>
      </c>
      <c r="J30" s="38">
        <f t="shared" ref="J30:J39" si="1">I30-H30</f>
        <v>-1</v>
      </c>
      <c r="K30" s="39">
        <f>'Oct 30'!$F30*'Oct 30'!$I30</f>
        <v>3943999.0384615385</v>
      </c>
      <c r="L30" s="40">
        <f>'Oct 30'!$K30/$K$2</f>
        <v>2.9725508363929284E-2</v>
      </c>
      <c r="M30" s="62"/>
    </row>
    <row r="31" spans="1:15" s="2" customFormat="1" ht="25.5" x14ac:dyDescent="0.2">
      <c r="A31" s="34" t="s">
        <v>176</v>
      </c>
      <c r="B31" s="60" t="s">
        <v>115</v>
      </c>
      <c r="C31" s="61" t="s">
        <v>116</v>
      </c>
      <c r="D31" s="35">
        <v>3.0589999999999999E-2</v>
      </c>
      <c r="E31" s="36">
        <f>'Oct 30'!$D31*$C$6*$C$2</f>
        <v>3911093.9916327996</v>
      </c>
      <c r="F31" s="36">
        <f>INDEX('TWS data'!M:M,MATCH(Table13895845679910111213144562678910111213141516171819202134567891011121314151617181920212223[[#This Row],[IB Ticker]],'TWS data'!B:B,0))</f>
        <v>216331.26315789475</v>
      </c>
      <c r="G31" s="37">
        <f>'Oct 30'!$E31/'Oct 30'!$F31</f>
        <v>18.079189917077269</v>
      </c>
      <c r="H31" s="34">
        <f>INDEX('TWS data'!F:F,MATCH(Table13895845679910111213144562678910111213141516171819202134567891011121314151617181920212223[[#This Row],[IB Ticker]],'TWS data'!B:B,0))</f>
        <v>19</v>
      </c>
      <c r="I31" s="34">
        <v>18</v>
      </c>
      <c r="J31" s="38">
        <f t="shared" si="1"/>
        <v>-1</v>
      </c>
      <c r="K31" s="39">
        <f>'Oct 30'!$F31*'Oct 30'!$I31</f>
        <v>3893962.7368421056</v>
      </c>
      <c r="L31" s="40">
        <f>'Oct 30'!$K31/$K$2</f>
        <v>2.9348389990475336E-2</v>
      </c>
      <c r="M31" s="62"/>
    </row>
    <row r="32" spans="1:15" s="2" customFormat="1" ht="25.5" x14ac:dyDescent="0.2">
      <c r="A32" s="34" t="s">
        <v>176</v>
      </c>
      <c r="B32" s="60" t="s">
        <v>121</v>
      </c>
      <c r="C32" s="61" t="s">
        <v>122</v>
      </c>
      <c r="D32" s="35">
        <v>3.0589999999999999E-2</v>
      </c>
      <c r="E32" s="36">
        <f>'Oct 30'!$D32*$C$6*$C$2</f>
        <v>3911093.9916327996</v>
      </c>
      <c r="F32" s="36">
        <f>INDEX('TWS data'!M:M,MATCH(Table13895845679910111213144562678910111213141516171819202134567891011121314151617181920212223[[#This Row],[IB Ticker]],'TWS data'!B:B,0))</f>
        <v>173114.04166666666</v>
      </c>
      <c r="G32" s="37">
        <f>'Oct 30'!$E32/'Oct 30'!$F32</f>
        <v>22.59258667857609</v>
      </c>
      <c r="H32" s="34">
        <f>INDEX('TWS data'!F:F,MATCH(Table13895845679910111213144562678910111213141516171819202134567891011121314151617181920212223[[#This Row],[IB Ticker]],'TWS data'!B:B,0))</f>
        <v>24</v>
      </c>
      <c r="I32" s="34">
        <v>23</v>
      </c>
      <c r="J32" s="38">
        <f t="shared" si="1"/>
        <v>-1</v>
      </c>
      <c r="K32" s="39">
        <f>'Oct 30'!$F32*'Oct 30'!$I32</f>
        <v>3981622.958333333</v>
      </c>
      <c r="L32" s="40">
        <f>'Oct 30'!$K32/$K$2</f>
        <v>3.000907591400381E-2</v>
      </c>
      <c r="M32" s="62"/>
    </row>
    <row r="33" spans="1:13" s="2" customFormat="1" ht="25.5" x14ac:dyDescent="0.2">
      <c r="A33" s="34" t="s">
        <v>176</v>
      </c>
      <c r="B33" s="60" t="s">
        <v>124</v>
      </c>
      <c r="C33" s="61" t="s">
        <v>125</v>
      </c>
      <c r="D33" s="35">
        <v>3.0589999999999999E-2</v>
      </c>
      <c r="E33" s="36">
        <f>'Oct 30'!$D33*$C$6*$C$2</f>
        <v>3911093.9916327996</v>
      </c>
      <c r="F33" s="36">
        <f>INDEX('TWS data'!M:M,MATCH(Table13895845679910111213144562678910111213141516171819202134567891011121314151617181920212223[[#This Row],[IB Ticker]],'TWS data'!B:B,0))</f>
        <v>125668.87878787878</v>
      </c>
      <c r="G33" s="37">
        <f>'Oct 30'!$E33/'Oct 30'!$F33</f>
        <v>31.12221601208428</v>
      </c>
      <c r="H33" s="34">
        <f>INDEX('TWS data'!F:F,MATCH(Table13895845679910111213144562678910111213141516171819202134567891011121314151617181920212223[[#This Row],[IB Ticker]],'TWS data'!B:B,0))</f>
        <v>33</v>
      </c>
      <c r="I33" s="34">
        <v>31</v>
      </c>
      <c r="J33" s="38">
        <f t="shared" si="1"/>
        <v>-2</v>
      </c>
      <c r="K33" s="39">
        <f>'Oct 30'!$F33*'Oct 30'!$I33</f>
        <v>3895735.2424242422</v>
      </c>
      <c r="L33" s="40">
        <f>'Oct 30'!$K33/$K$2</f>
        <v>2.9361749179712734E-2</v>
      </c>
      <c r="M33" s="62"/>
    </row>
    <row r="34" spans="1:13" s="2" customFormat="1" ht="25.5" x14ac:dyDescent="0.2">
      <c r="A34" s="34" t="s">
        <v>176</v>
      </c>
      <c r="B34" s="60" t="s">
        <v>127</v>
      </c>
      <c r="C34" s="61" t="s">
        <v>128</v>
      </c>
      <c r="D34" s="35">
        <v>3.0589999999999999E-2</v>
      </c>
      <c r="E34" s="36">
        <f>'Oct 30'!$D34*$C$6*$C$2</f>
        <v>3911093.9916327996</v>
      </c>
      <c r="F34" s="36">
        <f>INDEX('TWS data'!M:M,MATCH(Table13895845679910111213144562678910111213141516171819202134567891011121314151617181920212223[[#This Row],[IB Ticker]],'TWS data'!B:B,0))</f>
        <v>138463.93333333332</v>
      </c>
      <c r="G34" s="37">
        <f>'Oct 30'!$E34/'Oct 30'!$F34</f>
        <v>28.246301383172224</v>
      </c>
      <c r="H34" s="34">
        <f>INDEX('TWS data'!F:F,MATCH(Table13895845679910111213144562678910111213141516171819202134567891011121314151617181920212223[[#This Row],[IB Ticker]],'TWS data'!B:B,0))</f>
        <v>30</v>
      </c>
      <c r="I34" s="34">
        <v>28</v>
      </c>
      <c r="J34" s="38">
        <f t="shared" si="1"/>
        <v>-2</v>
      </c>
      <c r="K34" s="39">
        <f>'Oct 30'!$F34*'Oct 30'!$I34</f>
        <v>3876990.1333333328</v>
      </c>
      <c r="L34" s="40">
        <f>'Oct 30'!$K34/$K$2</f>
        <v>2.9220469252504142E-2</v>
      </c>
      <c r="M34" s="62"/>
    </row>
    <row r="35" spans="1:13" s="2" customFormat="1" ht="25.5" x14ac:dyDescent="0.2">
      <c r="A35" s="34" t="s">
        <v>176</v>
      </c>
      <c r="B35" s="60" t="s">
        <v>135</v>
      </c>
      <c r="C35" s="61" t="s">
        <v>136</v>
      </c>
      <c r="D35" s="35">
        <v>3.0589999999999999E-2</v>
      </c>
      <c r="E35" s="36">
        <f>'Oct 30'!$D35*$C$6*$C$2</f>
        <v>3911093.9916327996</v>
      </c>
      <c r="F35" s="36">
        <f>INDEX('TWS data'!M:M,MATCH(Table13895845679910111213144562678910111213141516171819202134567891011121314151617181920212223[[#This Row],[IB Ticker]],'TWS data'!B:B,0))</f>
        <v>220856.26315789475</v>
      </c>
      <c r="G35" s="37">
        <f>'Oct 30'!$E35/'Oct 30'!$F35</f>
        <v>17.708775543470448</v>
      </c>
      <c r="H35" s="34">
        <f>INDEX('TWS data'!F:F,MATCH(Table13895845679910111213144562678910111213141516171819202134567891011121314151617181920212223[[#This Row],[IB Ticker]],'TWS data'!B:B,0))</f>
        <v>19</v>
      </c>
      <c r="I35" s="34">
        <v>18</v>
      </c>
      <c r="J35" s="38">
        <f t="shared" si="1"/>
        <v>-1</v>
      </c>
      <c r="K35" s="39">
        <f>'Oct 30'!$F35*'Oct 30'!$I35</f>
        <v>3975412.7368421056</v>
      </c>
      <c r="L35" s="40">
        <f>'Oct 30'!$K35/$K$2</f>
        <v>2.9962270123972141E-2</v>
      </c>
      <c r="M35" s="62"/>
    </row>
    <row r="36" spans="1:13" s="43" customFormat="1" ht="25.5" customHeight="1" x14ac:dyDescent="0.25">
      <c r="A36" s="34" t="s">
        <v>177</v>
      </c>
      <c r="B36" s="34" t="s">
        <v>76</v>
      </c>
      <c r="C36" s="34" t="s">
        <v>77</v>
      </c>
      <c r="D36" s="35">
        <v>3.0589999999999999E-2</v>
      </c>
      <c r="E36" s="36">
        <f>'Oct 30'!$D36*$C$6*$C$2</f>
        <v>3911093.9916327996</v>
      </c>
      <c r="F36" s="36">
        <f>INDEX('TWS data'!M:M,MATCH(Table13895845679910111213144562678910111213141516171819202134567891011121314151617181920212223[[#This Row],[IB Ticker]],'TWS data'!B:B,0))</f>
        <v>113509.75675675676</v>
      </c>
      <c r="G36" s="37">
        <f>'Oct 30'!$E36/'Oct 30'!$F36</f>
        <v>34.456015970627021</v>
      </c>
      <c r="H36" s="34">
        <f>INDEX('TWS data'!F:F,MATCH(Table13895845679910111213144562678910111213141516171819202134567891011121314151617181920212223[[#This Row],[IB Ticker]],'TWS data'!B:B,0))</f>
        <v>37</v>
      </c>
      <c r="I36" s="34">
        <v>34</v>
      </c>
      <c r="J36" s="38">
        <f t="shared" si="1"/>
        <v>-3</v>
      </c>
      <c r="K36" s="39">
        <f>'Oct 30'!$F36*'Oct 30'!$I36</f>
        <v>3859331.7297297297</v>
      </c>
      <c r="L36" s="40">
        <f>'Oct 30'!$K36/$K$2</f>
        <v>2.9087379710926238E-2</v>
      </c>
      <c r="M36" s="41"/>
    </row>
    <row r="37" spans="1:13" s="43" customFormat="1" ht="25.5" x14ac:dyDescent="0.25">
      <c r="A37" s="34" t="s">
        <v>177</v>
      </c>
      <c r="B37" s="34" t="s">
        <v>71</v>
      </c>
      <c r="C37" s="34" t="s">
        <v>72</v>
      </c>
      <c r="D37" s="35">
        <v>3.0589999999999999E-2</v>
      </c>
      <c r="E37" s="36">
        <f>'Oct 30'!$D37*$C$6*$C$2</f>
        <v>3911093.9916327996</v>
      </c>
      <c r="F37" s="36">
        <f>INDEX('TWS data'!M:M,MATCH(Table13895845679910111213144562678910111213141516171819202134567891011121314151617181920212223[[#This Row],[IB Ticker]],'TWS data'!B:B,0))</f>
        <v>132820.29032258064</v>
      </c>
      <c r="G37" s="37">
        <f>'Oct 30'!$E37/'Oct 30'!$F37</f>
        <v>29.446509882894592</v>
      </c>
      <c r="H37" s="34">
        <f>INDEX('TWS data'!F:F,MATCH(Table13895845679910111213144562678910111213141516171819202134567891011121314151617181920212223[[#This Row],[IB Ticker]],'TWS data'!B:B,0))</f>
        <v>31</v>
      </c>
      <c r="I37" s="34">
        <v>29</v>
      </c>
      <c r="J37" s="38">
        <f t="shared" si="1"/>
        <v>-2</v>
      </c>
      <c r="K37" s="39">
        <f>'Oct 30'!$F37*'Oct 30'!$I37</f>
        <v>3851788.4193548383</v>
      </c>
      <c r="L37" s="40">
        <f>'Oct 30'!$K37/$K$2</f>
        <v>2.9030526569367662E-2</v>
      </c>
      <c r="M37" s="41"/>
    </row>
    <row r="38" spans="1:13" s="43" customFormat="1" ht="25.5" x14ac:dyDescent="0.25">
      <c r="A38" s="34" t="s">
        <v>177</v>
      </c>
      <c r="B38" s="34" t="s">
        <v>67</v>
      </c>
      <c r="C38" s="34" t="s">
        <v>68</v>
      </c>
      <c r="D38" s="35">
        <v>3.0589999999999999E-2</v>
      </c>
      <c r="E38" s="36">
        <f>'Oct 30'!$D38*$C$6*$C$2</f>
        <v>3911093.9916327996</v>
      </c>
      <c r="F38" s="36">
        <f>INDEX('TWS data'!M:M,MATCH(Table13895845679910111213144562678910111213141516171819202134567891011121314151617181920212223[[#This Row],[IB Ticker]],'TWS data'!B:B,0))</f>
        <v>174723.75</v>
      </c>
      <c r="G38" s="37">
        <f>'Oct 30'!$E38/'Oct 30'!$F38</f>
        <v>22.384443967307249</v>
      </c>
      <c r="H38" s="34">
        <f>INDEX('TWS data'!F:F,MATCH(Table13895845679910111213144562678910111213141516171819202134567891011121314151617181920212223[[#This Row],[IB Ticker]],'TWS data'!B:B,0))</f>
        <v>24</v>
      </c>
      <c r="I38" s="34">
        <v>22</v>
      </c>
      <c r="J38" s="38">
        <f t="shared" si="1"/>
        <v>-2</v>
      </c>
      <c r="K38" s="39">
        <f>'Oct 30'!$F38*'Oct 30'!$I38</f>
        <v>3843922.5</v>
      </c>
      <c r="L38" s="40">
        <f>'Oct 30'!$K38/$K$2</f>
        <v>2.8971241957659578E-2</v>
      </c>
      <c r="M38" s="41"/>
    </row>
    <row r="39" spans="1:13" s="43" customFormat="1" ht="25.5" x14ac:dyDescent="0.25">
      <c r="A39" s="34" t="s">
        <v>177</v>
      </c>
      <c r="B39" s="34" t="s">
        <v>80</v>
      </c>
      <c r="C39" s="34" t="s">
        <v>81</v>
      </c>
      <c r="D39" s="35">
        <v>3.0589999999999999E-2</v>
      </c>
      <c r="E39" s="36">
        <f>'Oct 30'!$D39*$C$6*$C$2</f>
        <v>3911093.9916327996</v>
      </c>
      <c r="F39" s="36">
        <f>INDEX('TWS data'!M:M,MATCH(Table13895845679910111213144562678910111213141516171819202134567891011121314151617181920212223[[#This Row],[IB Ticker]],'TWS data'!B:B,0))</f>
        <v>266698.375</v>
      </c>
      <c r="G39" s="37">
        <f>'Oct 30'!$E39/'Oct 30'!$F39</f>
        <v>14.664858725265198</v>
      </c>
      <c r="H39" s="34">
        <f>INDEX('TWS data'!F:F,MATCH(Table13895845679910111213144562678910111213141516171819202134567891011121314151617181920212223[[#This Row],[IB Ticker]],'TWS data'!B:B,0))</f>
        <v>16</v>
      </c>
      <c r="I39" s="34">
        <v>15</v>
      </c>
      <c r="J39" s="38">
        <f t="shared" si="1"/>
        <v>-1</v>
      </c>
      <c r="K39" s="39">
        <f>'Oct 30'!$F39*'Oct 30'!$I39</f>
        <v>4000475.625</v>
      </c>
      <c r="L39" s="40">
        <f>'Oct 30'!$K39/$K$2</f>
        <v>3.0151166491414545E-2</v>
      </c>
      <c r="M39" s="41"/>
    </row>
    <row r="40" spans="1:13" s="64" customFormat="1" ht="12.75" x14ac:dyDescent="0.2">
      <c r="A40" s="34"/>
      <c r="B40" s="61"/>
      <c r="C40" s="61"/>
      <c r="D40" s="35"/>
      <c r="E40" s="63"/>
      <c r="F40" s="36"/>
      <c r="G40" s="37"/>
      <c r="H40" s="34"/>
      <c r="I40" s="34"/>
      <c r="J40" s="45"/>
      <c r="K40" s="36"/>
      <c r="L40" s="46"/>
      <c r="M40" s="62"/>
    </row>
    <row r="41" spans="1:13" s="15" customFormat="1" ht="12.75" x14ac:dyDescent="0.2">
      <c r="A41" s="47" t="s">
        <v>182</v>
      </c>
      <c r="B41" s="65"/>
      <c r="C41" s="65"/>
      <c r="D41" s="55">
        <f>SUBTOTAL(9,D30:D40)</f>
        <v>0.30590000000000001</v>
      </c>
      <c r="E41" s="66">
        <f>'Oct 30'!$D41*$C$6*$C$2</f>
        <v>39110939.916327998</v>
      </c>
      <c r="F41" s="67"/>
      <c r="G41" s="68"/>
      <c r="H41" s="54"/>
      <c r="I41" s="54"/>
      <c r="J41" s="58"/>
      <c r="K41" s="66">
        <f>SUM(K30:K40)</f>
        <v>39123241.120321229</v>
      </c>
      <c r="L41" s="69">
        <f>'Oct 30'!$K41/$K$2</f>
        <v>0.29486777755396548</v>
      </c>
      <c r="M41" s="70"/>
    </row>
    <row r="42" spans="1:13" s="64" customFormat="1" ht="12.75" x14ac:dyDescent="0.2">
      <c r="A42" s="34"/>
      <c r="B42" s="61"/>
      <c r="C42" s="61"/>
      <c r="D42" s="35"/>
      <c r="E42" s="63"/>
      <c r="F42" s="36"/>
      <c r="G42" s="37"/>
      <c r="H42" s="34"/>
      <c r="I42" s="34"/>
      <c r="J42" s="45"/>
      <c r="K42" s="36"/>
      <c r="L42" s="40"/>
      <c r="M42" s="62"/>
    </row>
    <row r="43" spans="1:13" s="2" customFormat="1" ht="24.75" customHeight="1" x14ac:dyDescent="0.2">
      <c r="A43" s="34" t="s">
        <v>176</v>
      </c>
      <c r="B43" s="61" t="s">
        <v>130</v>
      </c>
      <c r="C43" s="61" t="s">
        <v>131</v>
      </c>
      <c r="D43" s="35">
        <v>0.1</v>
      </c>
      <c r="E43" s="36">
        <f>'Oct 30'!$D43*$C$6*$C$2</f>
        <v>12785531.192</v>
      </c>
      <c r="F43" s="36">
        <f>INDEX('TWS data'!M:M,MATCH(Table13895845679910111213144562678910111213141516171819202134567891011121314151617181920212223[[#This Row],[IB Ticker]],'TWS data'!B:B,0))</f>
        <v>416340.81818181818</v>
      </c>
      <c r="G43" s="37">
        <f>'Oct 30'!$E43/'Oct 30'!$F43</f>
        <v>30.709290642784136</v>
      </c>
      <c r="H43" s="34">
        <f>INDEX('TWS data'!F:F,MATCH(Table13895845679910111213144562678910111213141516171819202134567891011121314151617181920212223[[#This Row],[IB Ticker]],'TWS data'!B:B,0))</f>
        <v>33</v>
      </c>
      <c r="I43" s="34">
        <v>33</v>
      </c>
      <c r="J43" s="38">
        <f>I43-H43</f>
        <v>0</v>
      </c>
      <c r="K43" s="39">
        <f>'Oct 30'!$F43*'Oct 30'!$I43</f>
        <v>13739247</v>
      </c>
      <c r="L43" s="40">
        <f>'Oct 30'!$K43/$K$2</f>
        <v>0.10355126804795063</v>
      </c>
      <c r="M43" s="62"/>
    </row>
    <row r="44" spans="1:13" s="43" customFormat="1" ht="25.5" x14ac:dyDescent="0.25">
      <c r="A44" s="34" t="s">
        <v>177</v>
      </c>
      <c r="B44" s="34" t="s">
        <v>82</v>
      </c>
      <c r="C44" s="34" t="s">
        <v>83</v>
      </c>
      <c r="D44" s="35">
        <v>0.1</v>
      </c>
      <c r="E44" s="36">
        <f>'Oct 30'!$D44*$C$6*$C$2</f>
        <v>12785531.192</v>
      </c>
      <c r="F44" s="36">
        <f>INDEX('TWS data'!M:M,MATCH(Table13895845679910111213144562678910111213141516171819202134567891011121314151617181920212223[[#This Row],[IB Ticker]],'TWS data'!B:B,0))</f>
        <v>249396.25454545455</v>
      </c>
      <c r="G44" s="37">
        <f>'Oct 30'!$E44/'Oct 30'!$F44</f>
        <v>51.265931059400614</v>
      </c>
      <c r="H44" s="34">
        <f>INDEX('TWS data'!F:F,MATCH(Table13895845679910111213144562678910111213141516171819202134567891011121314151617181920212223[[#This Row],[IB Ticker]],'TWS data'!B:B,0))</f>
        <v>55</v>
      </c>
      <c r="I44" s="34">
        <v>55</v>
      </c>
      <c r="J44" s="38">
        <f>I44-H44</f>
        <v>0</v>
      </c>
      <c r="K44" s="39">
        <f>'Oct 30'!$F44*'Oct 30'!$I44</f>
        <v>13716794</v>
      </c>
      <c r="L44" s="40">
        <f>'Oct 30'!$K44/$K$2</f>
        <v>0.10338204213466144</v>
      </c>
      <c r="M44" s="41"/>
    </row>
    <row r="45" spans="1:13" s="43" customFormat="1" ht="25.5" x14ac:dyDescent="0.25">
      <c r="A45" s="34" t="s">
        <v>177</v>
      </c>
      <c r="B45" s="34" t="s">
        <v>104</v>
      </c>
      <c r="C45" s="34" t="s">
        <v>105</v>
      </c>
      <c r="D45" s="35">
        <v>0.1</v>
      </c>
      <c r="E45" s="36">
        <f>'Oct 30'!$D45*$C$6*$C$2</f>
        <v>12785531.192</v>
      </c>
      <c r="F45" s="36">
        <f>INDEX('TWS data'!M:M,MATCH(Table13895845679910111213144562678910111213141516171819202134567891011121314151617181920212223[[#This Row],[IB Ticker]],'TWS data'!B:B,0))</f>
        <v>416360.48484848486</v>
      </c>
      <c r="G45" s="37">
        <f>'Oct 30'!$E45/'Oct 30'!$F45</f>
        <v>30.707840098353</v>
      </c>
      <c r="H45" s="34">
        <f>INDEX('TWS data'!F:F,MATCH(Table13895845679910111213144562678910111213141516171819202134567891011121314151617181920212223[[#This Row],[IB Ticker]],'TWS data'!B:B,0))</f>
        <v>33</v>
      </c>
      <c r="I45" s="34">
        <v>33</v>
      </c>
      <c r="J45" s="38">
        <f>I45-H45</f>
        <v>0</v>
      </c>
      <c r="K45" s="39">
        <f>'Oct 30'!$F45*'Oct 30'!$I45</f>
        <v>13739896</v>
      </c>
      <c r="L45" s="40">
        <f>'Oct 30'!$K45/$K$2</f>
        <v>0.10355615949309047</v>
      </c>
      <c r="M45" s="41"/>
    </row>
    <row r="46" spans="1:13" s="43" customFormat="1" ht="25.5" x14ac:dyDescent="0.25">
      <c r="A46" s="34" t="s">
        <v>177</v>
      </c>
      <c r="B46" s="34" t="s">
        <v>107</v>
      </c>
      <c r="C46" s="34" t="s">
        <v>108</v>
      </c>
      <c r="D46" s="35">
        <v>0.1</v>
      </c>
      <c r="E46" s="36">
        <f>'Oct 30'!$D46*$C$6*$C$2</f>
        <v>12785531.192</v>
      </c>
      <c r="F46" s="36">
        <f>INDEX('TWS data'!M:M,MATCH(Table13895845679910111213144562678910111213141516171819202134567891011121314151617181920212223[[#This Row],[IB Ticker]],'TWS data'!B:B,0))</f>
        <v>249795.4</v>
      </c>
      <c r="G46" s="37">
        <f>'Oct 30'!$E46/'Oct 30'!$F46</f>
        <v>51.184013764865163</v>
      </c>
      <c r="H46" s="34">
        <f>INDEX('TWS data'!F:F,MATCH(Table13895845679910111213144562678910111213141516171819202134567891011121314151617181920212223[[#This Row],[IB Ticker]],'TWS data'!B:B,0))</f>
        <v>55</v>
      </c>
      <c r="I46" s="34">
        <v>55</v>
      </c>
      <c r="J46" s="38">
        <f>I46-H46</f>
        <v>0</v>
      </c>
      <c r="K46" s="39">
        <f>'Oct 30'!$F46*'Oct 30'!$I46</f>
        <v>13738747</v>
      </c>
      <c r="L46" s="40">
        <f>'Oct 30'!$K46/$K$2</f>
        <v>0.10354749960023119</v>
      </c>
      <c r="M46" s="41"/>
    </row>
    <row r="47" spans="1:13" s="43" customFormat="1" ht="25.5" x14ac:dyDescent="0.25">
      <c r="A47" s="34" t="s">
        <v>177</v>
      </c>
      <c r="B47" s="34" t="s">
        <v>85</v>
      </c>
      <c r="C47" s="34" t="s">
        <v>86</v>
      </c>
      <c r="D47" s="35">
        <v>0.1</v>
      </c>
      <c r="E47" s="36">
        <f>'Oct 30'!$D47*$C$6*$C$2</f>
        <v>12785531.192</v>
      </c>
      <c r="F47" s="36">
        <f>INDEX('TWS data'!M:M,MATCH(Table13895845679910111213144562678910111213141516171819202134567891011121314151617181920212223[[#This Row],[IB Ticker]],'TWS data'!B:B,0))</f>
        <v>161506.70588235295</v>
      </c>
      <c r="G47" s="37">
        <f>'Oct 30'!$E47/'Oct 30'!$F47</f>
        <v>79.164088711668853</v>
      </c>
      <c r="H47" s="34">
        <f>INDEX('TWS data'!F:F,MATCH(Table13895845679910111213144562678910111213141516171819202134567891011121314151617181920212223[[#This Row],[IB Ticker]],'TWS data'!B:B,0))</f>
        <v>85</v>
      </c>
      <c r="I47" s="34">
        <v>85</v>
      </c>
      <c r="J47" s="38">
        <f>I47-H47</f>
        <v>0</v>
      </c>
      <c r="K47" s="39">
        <f>'Oct 30'!$F47*'Oct 30'!$I47</f>
        <v>13728070</v>
      </c>
      <c r="L47" s="40">
        <f>'Oct 30'!$K47/$K$2</f>
        <v>0.10346702816763026</v>
      </c>
      <c r="M47" s="41"/>
    </row>
    <row r="48" spans="1:13" s="44" customFormat="1" ht="12.75" x14ac:dyDescent="0.25">
      <c r="A48" s="34"/>
      <c r="B48" s="34"/>
      <c r="C48" s="34"/>
      <c r="D48" s="35"/>
      <c r="E48" s="36"/>
      <c r="F48" s="36"/>
      <c r="G48" s="37"/>
      <c r="H48" s="34"/>
      <c r="I48" s="34"/>
      <c r="J48" s="45"/>
      <c r="K48" s="36"/>
      <c r="L48" s="40"/>
      <c r="M48" s="34"/>
    </row>
    <row r="49" spans="1:16" s="53" customFormat="1" ht="25.5" x14ac:dyDescent="0.25">
      <c r="A49" s="47" t="s">
        <v>190</v>
      </c>
      <c r="B49" s="47"/>
      <c r="C49" s="47"/>
      <c r="D49" s="55">
        <f>SUBTOTAL(9,D43:D48)</f>
        <v>0.5</v>
      </c>
      <c r="E49" s="49">
        <f>'Oct 30'!$D49*$C$6*$C$2</f>
        <v>63927655.959999993</v>
      </c>
      <c r="F49" s="68"/>
      <c r="G49" s="68"/>
      <c r="H49" s="54"/>
      <c r="I49" s="54"/>
      <c r="J49" s="58"/>
      <c r="K49" s="49">
        <f>SUM(K43:K48)</f>
        <v>68662754</v>
      </c>
      <c r="L49" s="71">
        <f>'Oct 30'!$K49/$K$2</f>
        <v>0.51750399744356401</v>
      </c>
      <c r="M49" s="47"/>
    </row>
    <row r="50" spans="1:16" s="44" customFormat="1" ht="12.75" x14ac:dyDescent="0.25">
      <c r="A50" s="34"/>
      <c r="B50" s="34"/>
      <c r="C50" s="34"/>
      <c r="D50" s="35"/>
      <c r="E50" s="36"/>
      <c r="F50" s="36"/>
      <c r="G50" s="37"/>
      <c r="H50" s="34"/>
      <c r="I50" s="34"/>
      <c r="J50" s="45"/>
      <c r="K50" s="36"/>
      <c r="L50" s="40"/>
      <c r="M50" s="34"/>
    </row>
    <row r="51" spans="1:16" s="43" customFormat="1" ht="12.75" x14ac:dyDescent="0.25">
      <c r="A51" s="34"/>
      <c r="B51" s="34"/>
      <c r="C51" s="34"/>
      <c r="D51" s="35"/>
      <c r="E51" s="36"/>
      <c r="F51" s="36"/>
      <c r="G51" s="72"/>
      <c r="H51" s="34"/>
      <c r="I51" s="34"/>
      <c r="J51" s="38"/>
      <c r="K51" s="39"/>
      <c r="L51" s="40"/>
      <c r="M51" s="41"/>
    </row>
    <row r="52" spans="1:16" s="43" customFormat="1" ht="25.5" x14ac:dyDescent="0.25">
      <c r="A52" s="34" t="s">
        <v>191</v>
      </c>
      <c r="B52" s="34" t="s">
        <v>63</v>
      </c>
      <c r="C52" s="34" t="s">
        <v>64</v>
      </c>
      <c r="D52" s="35">
        <v>9.8700000000000003E-4</v>
      </c>
      <c r="E52" s="36">
        <f>'Oct 30'!$D52*$C$6*$C$2</f>
        <v>126193.19286503999</v>
      </c>
      <c r="F52" s="36">
        <f>INDEX('TWS data'!M:M,MATCH(Table13895845679910111213144562678910111213141516171819202134567891011121314151617181920212223[[#This Row],[IB Ticker]],'TWS data'!B:B,0))</f>
        <v>45341.333333333336</v>
      </c>
      <c r="G52" s="72">
        <f>'Oct 30'!$E52/'Oct 30'!$F52</f>
        <v>2.7831822222190197</v>
      </c>
      <c r="H52" s="34">
        <f>INDEX('TWS data'!F:F,MATCH(Table13895845679910111213144562678910111213141516171819202134567891011121314151617181920212223[[#This Row],[IB Ticker]],'TWS data'!B:B,0))</f>
        <v>3</v>
      </c>
      <c r="I52" s="34">
        <v>3</v>
      </c>
      <c r="J52" s="38">
        <f t="shared" ref="J52:J61" si="2">I52-H52</f>
        <v>0</v>
      </c>
      <c r="K52" s="39">
        <f>'Oct 30'!$F52*'Oct 30'!$I52</f>
        <v>136024</v>
      </c>
      <c r="L52" s="40">
        <f>'Oct 30'!$K52/$K$2</f>
        <v>1.0251986651782616E-3</v>
      </c>
      <c r="M52" s="41"/>
    </row>
    <row r="53" spans="1:16" s="43" customFormat="1" ht="25.5" x14ac:dyDescent="0.25">
      <c r="A53" s="34" t="s">
        <v>191</v>
      </c>
      <c r="B53" s="34" t="s">
        <v>73</v>
      </c>
      <c r="C53" s="34" t="s">
        <v>74</v>
      </c>
      <c r="D53" s="35">
        <v>9.8700000000000003E-4</v>
      </c>
      <c r="E53" s="36">
        <f>'Oct 30'!$D53*$C$6*$C$2</f>
        <v>126193.19286503999</v>
      </c>
      <c r="F53" s="36">
        <f>INDEX('TWS data'!M:M,MATCH(Table13895845679910111213144562678910111213141516171819202134567891011121314151617181920212223[[#This Row],[IB Ticker]],'TWS data'!B:B,0))</f>
        <v>167992</v>
      </c>
      <c r="G53" s="72">
        <f>'Oct 30'!$E53/'Oct 30'!$F53</f>
        <v>0.75118572827896557</v>
      </c>
      <c r="H53" s="34">
        <f>INDEX('TWS data'!F:F,MATCH(Table13895845679910111213144562678910111213141516171819202134567891011121314151617181920212223[[#This Row],[IB Ticker]],'TWS data'!B:B,0))</f>
        <v>1</v>
      </c>
      <c r="I53" s="34">
        <v>1</v>
      </c>
      <c r="J53" s="38">
        <f t="shared" si="2"/>
        <v>0</v>
      </c>
      <c r="K53" s="39">
        <f>'Oct 30'!$F53*'Oct 30'!$I53</f>
        <v>167992</v>
      </c>
      <c r="L53" s="40">
        <f>'Oct 30'!$K53/$K$2</f>
        <v>1.266138138568389E-3</v>
      </c>
      <c r="M53" s="41"/>
      <c r="P53" s="43" t="s">
        <v>194</v>
      </c>
    </row>
    <row r="54" spans="1:16" s="43" customFormat="1" ht="25.5" x14ac:dyDescent="0.25">
      <c r="A54" s="34" t="s">
        <v>191</v>
      </c>
      <c r="B54" s="34" t="s">
        <v>92</v>
      </c>
      <c r="C54" s="34" t="s">
        <v>93</v>
      </c>
      <c r="D54" s="35">
        <v>9.8700000000000003E-4</v>
      </c>
      <c r="E54" s="36">
        <f>'Oct 30'!$D54*$C$6*$C$2</f>
        <v>126193.19286503999</v>
      </c>
      <c r="F54" s="36">
        <f>INDEX('TWS data'!M:M,MATCH(Table13895845679910111213144562678910111213141516171819202134567891011121314151617181920212223[[#This Row],[IB Ticker]],'TWS data'!B:B,0))</f>
        <v>91349</v>
      </c>
      <c r="G54" s="72">
        <f>'Oct 30'!$E54/'Oct 30'!$F54</f>
        <v>1.3814403317501012</v>
      </c>
      <c r="H54" s="34">
        <f>INDEX('TWS data'!F:F,MATCH(Table13895845679910111213144562678910111213141516171819202134567891011121314151617181920212223[[#This Row],[IB Ticker]],'TWS data'!B:B,0))</f>
        <v>1</v>
      </c>
      <c r="I54" s="34">
        <v>1</v>
      </c>
      <c r="J54" s="38">
        <f t="shared" si="2"/>
        <v>0</v>
      </c>
      <c r="K54" s="39">
        <f>'Oct 30'!$F54*'Oct 30'!$I54</f>
        <v>91349</v>
      </c>
      <c r="L54" s="40">
        <f>'Oct 30'!$K54/$K$2</f>
        <v>6.8848786144628171E-4</v>
      </c>
      <c r="M54" s="41"/>
    </row>
    <row r="55" spans="1:16" s="43" customFormat="1" ht="25.5" x14ac:dyDescent="0.25">
      <c r="A55" s="34" t="s">
        <v>191</v>
      </c>
      <c r="B55" s="34" t="s">
        <v>94</v>
      </c>
      <c r="C55" s="34" t="s">
        <v>95</v>
      </c>
      <c r="D55" s="35">
        <v>9.8700000000000003E-4</v>
      </c>
      <c r="E55" s="36">
        <f>'Oct 30'!$D55*$C$6*$C$2</f>
        <v>126193.19286503999</v>
      </c>
      <c r="F55" s="36">
        <f>INDEX('TWS data'!M:M,MATCH(Table13895845679910111213144562678910111213141516171819202134567891011121314151617181920212223[[#This Row],[IB Ticker]],'TWS data'!B:B,0))</f>
        <v>222710</v>
      </c>
      <c r="G55" s="72">
        <f>'Oct 30'!$E55/'Oct 30'!$F55</f>
        <v>0.56662562464658073</v>
      </c>
      <c r="H55" s="34">
        <f>INDEX('TWS data'!F:F,MATCH(Table13895845679910111213144562678910111213141516171819202134567891011121314151617181920212223[[#This Row],[IB Ticker]],'TWS data'!B:B,0))</f>
        <v>1</v>
      </c>
      <c r="I55" s="34">
        <v>1</v>
      </c>
      <c r="J55" s="38">
        <f t="shared" si="2"/>
        <v>0</v>
      </c>
      <c r="K55" s="39">
        <f>'Oct 30'!$F55*'Oct 30'!$I55</f>
        <v>222710</v>
      </c>
      <c r="L55" s="40">
        <f>'Oct 30'!$K55/$K$2</f>
        <v>1.6785419831930443E-3</v>
      </c>
      <c r="M55" s="41"/>
    </row>
    <row r="56" spans="1:16" s="43" customFormat="1" ht="25.5" x14ac:dyDescent="0.25">
      <c r="A56" s="34" t="s">
        <v>191</v>
      </c>
      <c r="B56" s="34" t="s">
        <v>98</v>
      </c>
      <c r="C56" s="34" t="s">
        <v>99</v>
      </c>
      <c r="D56" s="35">
        <v>9.8700000000000003E-4</v>
      </c>
      <c r="E56" s="36">
        <f>'Oct 30'!$D56*$C$6*$C$2</f>
        <v>126193.19286503999</v>
      </c>
      <c r="F56" s="36">
        <f>INDEX('TWS data'!M:M,MATCH(Table13895845679910111213144562678910111213141516171819202134567891011121314151617181920212223[[#This Row],[IB Ticker]],'TWS data'!B:B,0))</f>
        <v>11232.25</v>
      </c>
      <c r="G56" s="72">
        <f>'Oct 30'!$E56/'Oct 30'!$F56</f>
        <v>11.234898872891895</v>
      </c>
      <c r="H56" s="34">
        <f>INDEX('TWS data'!F:F,MATCH(Table13895845679910111213144562678910111213141516171819202134567891011121314151617181920212223[[#This Row],[IB Ticker]],'TWS data'!B:B,0))</f>
        <v>12</v>
      </c>
      <c r="I56" s="34">
        <v>11</v>
      </c>
      <c r="J56" s="38">
        <f t="shared" si="2"/>
        <v>-1</v>
      </c>
      <c r="K56" s="39">
        <f>'Oct 30'!$F56*'Oct 30'!$I56</f>
        <v>123554.75</v>
      </c>
      <c r="L56" s="40">
        <f>'Oct 30'!$K56/$K$2</f>
        <v>9.3121923172700277E-4</v>
      </c>
      <c r="M56" s="41"/>
    </row>
    <row r="57" spans="1:16" s="43" customFormat="1" ht="25.5" x14ac:dyDescent="0.25">
      <c r="A57" s="34" t="s">
        <v>191</v>
      </c>
      <c r="B57" s="34" t="s">
        <v>101</v>
      </c>
      <c r="C57" s="34" t="s">
        <v>102</v>
      </c>
      <c r="D57" s="35">
        <v>9.8700000000000003E-4</v>
      </c>
      <c r="E57" s="36">
        <f>'Oct 30'!$D57*$C$6*$C$2</f>
        <v>126193.19286503999</v>
      </c>
      <c r="F57" s="36">
        <f>INDEX('TWS data'!M:M,MATCH(Table13895845679910111213144562678910111213141516171819202134567891011121314151617181920212223[[#This Row],[IB Ticker]],'TWS data'!B:B,0))</f>
        <v>88723.5</v>
      </c>
      <c r="G57" s="72">
        <f>'Oct 30'!$E57/'Oct 30'!$F57</f>
        <v>1.4223198235533989</v>
      </c>
      <c r="H57" s="34">
        <f>INDEX('TWS data'!F:F,MATCH(Table13895845679910111213144562678910111213141516171819202134567891011121314151617181920212223[[#This Row],[IB Ticker]],'TWS data'!B:B,0))</f>
        <v>2</v>
      </c>
      <c r="I57" s="34">
        <v>1</v>
      </c>
      <c r="J57" s="38">
        <f t="shared" si="2"/>
        <v>-1</v>
      </c>
      <c r="K57" s="39">
        <f>'Oct 30'!$F57*'Oct 30'!$I57</f>
        <v>88723.5</v>
      </c>
      <c r="L57" s="40">
        <f>'Oct 30'!$K57/$K$2</f>
        <v>6.686997424715013E-4</v>
      </c>
      <c r="M57" s="41"/>
    </row>
    <row r="58" spans="1:16" s="2" customFormat="1" ht="25.5" x14ac:dyDescent="0.2">
      <c r="A58" s="34" t="s">
        <v>191</v>
      </c>
      <c r="B58" s="61" t="s">
        <v>132</v>
      </c>
      <c r="C58" s="61" t="s">
        <v>133</v>
      </c>
      <c r="D58" s="35">
        <v>9.8700000000000003E-4</v>
      </c>
      <c r="E58" s="36">
        <f>'Oct 30'!$D58*$C$6*$C$2</f>
        <v>126193.19286503999</v>
      </c>
      <c r="F58" s="36">
        <f>INDEX('TWS data'!M:M,MATCH(Table13895845679910111213144562678910111213141516171819202134567891011121314151617181920212223[[#This Row],[IB Ticker]],'TWS data'!B:B,0))</f>
        <v>63005.5</v>
      </c>
      <c r="G58" s="72">
        <f>'Oct 30'!$E58/'Oct 30'!$F58</f>
        <v>2.0028916977889231</v>
      </c>
      <c r="H58" s="34">
        <f>INDEX('TWS data'!F:F,MATCH(Table13895845679910111213144562678910111213141516171819202134567891011121314151617181920212223[[#This Row],[IB Ticker]],'TWS data'!B:B,0))</f>
        <v>2</v>
      </c>
      <c r="I58" s="34">
        <v>2</v>
      </c>
      <c r="J58" s="38">
        <f t="shared" si="2"/>
        <v>0</v>
      </c>
      <c r="K58" s="39">
        <f>'Oct 30'!$F58*'Oct 30'!$I58</f>
        <v>126011</v>
      </c>
      <c r="L58" s="40">
        <f>'Oct 30'!$K58/$K$2</f>
        <v>9.4973173114875264E-4</v>
      </c>
      <c r="M58" s="62"/>
    </row>
    <row r="59" spans="1:16" s="43" customFormat="1" ht="25.5" x14ac:dyDescent="0.25">
      <c r="A59" s="34" t="s">
        <v>191</v>
      </c>
      <c r="B59" s="34" t="s">
        <v>89</v>
      </c>
      <c r="C59" s="34" t="s">
        <v>90</v>
      </c>
      <c r="D59" s="35">
        <v>9.8700000000000003E-4</v>
      </c>
      <c r="E59" s="36">
        <f>'Oct 30'!$D59*$C$6*$C$2</f>
        <v>126193.19286503999</v>
      </c>
      <c r="F59" s="36">
        <f>INDEX('TWS data'!M:M,MATCH(Table13895845679910111213144562678910111213141516171819202134567891011121314151617181920212223[[#This Row],[IB Ticker]],'TWS data'!B:B,0))</f>
        <v>33120</v>
      </c>
      <c r="G59" s="72">
        <f>'Oct 30'!$E59/'Oct 30'!$F59</f>
        <v>3.8101809439927532</v>
      </c>
      <c r="H59" s="34">
        <f>INDEX('TWS data'!F:F,MATCH(Table13895845679910111213144562678910111213141516171819202134567891011121314151617181920212223[[#This Row],[IB Ticker]],'TWS data'!B:B,0))</f>
        <v>4</v>
      </c>
      <c r="I59" s="34">
        <v>4</v>
      </c>
      <c r="J59" s="38">
        <f t="shared" si="2"/>
        <v>0</v>
      </c>
      <c r="K59" s="39">
        <f>'Oct 30'!$F59*'Oct 30'!$I59</f>
        <v>132480</v>
      </c>
      <c r="L59" s="40">
        <f>'Oct 30'!$K59/$K$2</f>
        <v>9.9848790774286975E-4</v>
      </c>
      <c r="M59" s="41"/>
    </row>
    <row r="60" spans="1:16" s="43" customFormat="1" ht="25.5" x14ac:dyDescent="0.25">
      <c r="A60" s="34" t="s">
        <v>191</v>
      </c>
      <c r="B60" s="34" t="s">
        <v>113</v>
      </c>
      <c r="C60" s="34" t="s">
        <v>114</v>
      </c>
      <c r="D60" s="35">
        <v>9.8700000000000003E-4</v>
      </c>
      <c r="E60" s="36">
        <f>'Oct 30'!$D60*$C$6*$C$2</f>
        <v>126193.19286503999</v>
      </c>
      <c r="F60" s="36">
        <f>INDEX('TWS data'!M:M,MATCH(Table13895845679910111213144562678910111213141516171819202134567891011121314151617181920212223[[#This Row],[IB Ticker]],'TWS data'!B:B,0))</f>
        <v>7966.3529411764703</v>
      </c>
      <c r="G60" s="72">
        <f>'Oct 30'!$E60/'Oct 30'!$F60</f>
        <v>15.840773538010456</v>
      </c>
      <c r="H60" s="34">
        <f>INDEX('TWS data'!F:F,MATCH(Table13895845679910111213144562678910111213141516171819202134567891011121314151617181920212223[[#This Row],[IB Ticker]],'TWS data'!B:B,0))</f>
        <v>17</v>
      </c>
      <c r="I60" s="34">
        <v>16</v>
      </c>
      <c r="J60" s="38">
        <f t="shared" si="2"/>
        <v>-1</v>
      </c>
      <c r="K60" s="39">
        <f>'Oct 30'!$F60*'Oct 30'!$I60</f>
        <v>127461.64705882352</v>
      </c>
      <c r="L60" s="40">
        <f>'Oct 30'!$K60/$K$2</f>
        <v>9.6066510634982487E-4</v>
      </c>
      <c r="M60" s="41"/>
    </row>
    <row r="61" spans="1:16" s="43" customFormat="1" ht="25.5" x14ac:dyDescent="0.25">
      <c r="A61" s="34" t="s">
        <v>191</v>
      </c>
      <c r="B61" s="34" t="s">
        <v>96</v>
      </c>
      <c r="C61" s="34" t="s">
        <v>97</v>
      </c>
      <c r="D61" s="35">
        <v>9.8700000000000003E-4</v>
      </c>
      <c r="E61" s="36">
        <f>'Oct 30'!$D61*$C$6*$C$2</f>
        <v>126193.19286503999</v>
      </c>
      <c r="F61" s="36">
        <f>INDEX('TWS data'!M:M,MATCH(Table13895845679910111213144562678910111213141516171819202134567891011121314151617181920212223[[#This Row],[IB Ticker]],'TWS data'!B:B,0))</f>
        <v>43163.333333333336</v>
      </c>
      <c r="G61" s="72">
        <f>'Oct 30'!$E61/'Oct 30'!$F61</f>
        <v>2.9236201914828941</v>
      </c>
      <c r="H61" s="34">
        <f>INDEX('TWS data'!F:F,MATCH(Table13895845679910111213144562678910111213141516171819202134567891011121314151617181920212223[[#This Row],[IB Ticker]],'TWS data'!B:B,0))</f>
        <v>3</v>
      </c>
      <c r="I61" s="34">
        <v>3</v>
      </c>
      <c r="J61" s="38">
        <f t="shared" si="2"/>
        <v>0</v>
      </c>
      <c r="K61" s="39">
        <f>'Oct 30'!$F61*'Oct 30'!$I61</f>
        <v>129490</v>
      </c>
      <c r="L61" s="40">
        <f>'Oct 30'!$K61/$K$2</f>
        <v>9.7595259038061742E-4</v>
      </c>
      <c r="M61" s="41"/>
    </row>
    <row r="62" spans="1:16" s="43" customFormat="1" ht="12.75" x14ac:dyDescent="0.25">
      <c r="A62" s="34"/>
      <c r="B62" s="34"/>
      <c r="C62" s="34"/>
      <c r="D62" s="35"/>
      <c r="E62" s="36"/>
      <c r="F62" s="36"/>
      <c r="G62" s="37"/>
      <c r="H62" s="34"/>
      <c r="I62" s="34"/>
      <c r="J62" s="41"/>
      <c r="K62" s="39"/>
      <c r="L62" s="40"/>
      <c r="M62" s="41"/>
    </row>
    <row r="63" spans="1:16" s="43" customFormat="1" ht="12.75" x14ac:dyDescent="0.25">
      <c r="A63" s="34"/>
      <c r="B63" s="34"/>
      <c r="C63" s="34"/>
      <c r="D63" s="35"/>
      <c r="E63" s="36"/>
      <c r="F63" s="36"/>
      <c r="G63" s="37"/>
      <c r="H63" s="34"/>
      <c r="I63" s="34"/>
      <c r="J63" s="41"/>
      <c r="K63" s="39"/>
      <c r="L63" s="40"/>
      <c r="M63" s="41"/>
    </row>
    <row r="64" spans="1:16" s="43" customFormat="1" ht="12.75" x14ac:dyDescent="0.25">
      <c r="A64" s="34"/>
      <c r="B64" s="34"/>
      <c r="C64" s="34"/>
      <c r="D64" s="35"/>
      <c r="E64" s="36"/>
      <c r="F64" s="36"/>
      <c r="G64" s="37"/>
      <c r="H64" s="34"/>
      <c r="I64" s="34"/>
      <c r="J64" s="41"/>
      <c r="K64" s="39"/>
      <c r="L64" s="40"/>
      <c r="M64" s="41"/>
    </row>
    <row r="65" spans="1:13" s="15" customFormat="1" ht="12.75" x14ac:dyDescent="0.2">
      <c r="A65" s="47" t="s">
        <v>205</v>
      </c>
      <c r="B65" s="65"/>
      <c r="C65" s="65"/>
      <c r="D65" s="88">
        <f>SUM(D52:D64)</f>
        <v>9.8700000000000003E-3</v>
      </c>
      <c r="E65" s="49">
        <f>SUM(E51:E64)</f>
        <v>1261931.9286503999</v>
      </c>
      <c r="F65" s="68"/>
      <c r="G65" s="68"/>
      <c r="H65" s="65"/>
      <c r="I65" s="65"/>
      <c r="J65" s="47"/>
      <c r="K65" s="49">
        <f>SUM(K51:K64)</f>
        <v>1345795.8970588236</v>
      </c>
      <c r="L65" s="52">
        <f>'Oct 30'!$K65/$K$2</f>
        <v>1.0143122958206546E-2</v>
      </c>
      <c r="M65" s="59"/>
    </row>
    <row r="66" spans="1:13" s="2" customFormat="1" ht="12.75" x14ac:dyDescent="0.2">
      <c r="A66" s="34"/>
      <c r="B66" s="61"/>
      <c r="C66" s="61"/>
      <c r="D66" s="74"/>
      <c r="E66" s="36"/>
      <c r="F66" s="36"/>
      <c r="G66" s="37"/>
      <c r="H66" s="61"/>
      <c r="I66" s="61"/>
      <c r="J66" s="34"/>
      <c r="K66" s="34"/>
      <c r="L66" s="40"/>
      <c r="M66" s="62"/>
    </row>
    <row r="67" spans="1:13" s="43" customFormat="1" ht="25.5" x14ac:dyDescent="0.25">
      <c r="A67" s="47" t="s">
        <v>206</v>
      </c>
      <c r="B67" s="54" t="s">
        <v>118</v>
      </c>
      <c r="C67" s="54" t="s">
        <v>119</v>
      </c>
      <c r="D67" s="55">
        <v>6.6090000000000003E-3</v>
      </c>
      <c r="E67" s="56">
        <f>'Oct 30'!$D67*$C$6*$C$2</f>
        <v>844995.75647927995</v>
      </c>
      <c r="F67" s="56">
        <f>INDEX('TWS data'!M:M,MATCH(Table13895845679910111213144562678910111213141516171819202134567891011121314151617181920212223[[#This Row],[IB Ticker]],'TWS data'!B:B,0))</f>
        <v>34900</v>
      </c>
      <c r="G67" s="57">
        <f>'Oct 30'!$E67/'Oct 30'!$F67</f>
        <v>24.211912793102577</v>
      </c>
      <c r="H67" s="54">
        <f>INDEX('TWS data'!F:F,MATCH(Table13895845679910111213144562678910111213141516171819202134567891011121314151617181920212223[[#This Row],[IB Ticker]],'TWS data'!B:B,0))</f>
        <v>17</v>
      </c>
      <c r="I67" s="54">
        <v>24</v>
      </c>
      <c r="J67" s="75">
        <f>I67-H67</f>
        <v>7</v>
      </c>
      <c r="K67" s="56">
        <f>'Oct 30'!$F67*'Oct 30'!$I67</f>
        <v>837600</v>
      </c>
      <c r="L67" s="76">
        <f>'Oct 30'!$K67/$K$2</f>
        <v>6.3129036196061866E-3</v>
      </c>
      <c r="M67" s="54"/>
    </row>
    <row r="68" spans="1:13" s="2" customFormat="1" ht="12.75" x14ac:dyDescent="0.2">
      <c r="A68" s="34"/>
      <c r="B68" s="61"/>
      <c r="C68" s="61"/>
      <c r="D68" s="74"/>
      <c r="E68" s="36"/>
      <c r="F68" s="36"/>
      <c r="G68" s="37"/>
      <c r="H68" s="61"/>
      <c r="I68" s="61"/>
      <c r="J68" s="34"/>
      <c r="K68" s="34"/>
      <c r="L68" s="40"/>
      <c r="M68" s="62"/>
    </row>
    <row r="69" spans="1:13" s="2" customFormat="1" ht="12.75" x14ac:dyDescent="0.2">
      <c r="A69" s="34"/>
      <c r="B69" s="61"/>
      <c r="C69" s="61"/>
      <c r="D69" s="77"/>
      <c r="E69" s="63"/>
      <c r="F69" s="36"/>
      <c r="G69" s="37"/>
      <c r="H69" s="61"/>
      <c r="I69" s="61"/>
      <c r="J69" s="34"/>
      <c r="K69" s="34"/>
      <c r="L69" s="40"/>
      <c r="M69" s="62"/>
    </row>
    <row r="70" spans="1:13" s="15" customFormat="1" ht="12.75" x14ac:dyDescent="0.2">
      <c r="A70" s="47" t="s">
        <v>208</v>
      </c>
      <c r="B70" s="65"/>
      <c r="C70" s="65"/>
      <c r="D70" s="65"/>
      <c r="E70" s="78"/>
      <c r="F70" s="78"/>
      <c r="G70" s="47"/>
      <c r="H70" s="65"/>
      <c r="I70" s="65"/>
      <c r="J70" s="65"/>
      <c r="K70" s="78">
        <f>SUM(K26,K28,K41,K49,K65,K67:K67)</f>
        <v>132680625.34625728</v>
      </c>
      <c r="L70" s="52">
        <f>'Oct 30'!$K70/$K$2</f>
        <v>1</v>
      </c>
      <c r="M70" s="65"/>
    </row>
    <row r="71" spans="1:13" s="2" customFormat="1" ht="12.75" x14ac:dyDescent="0.2">
      <c r="A71" s="62"/>
      <c r="B71" s="62"/>
      <c r="C71" s="62"/>
      <c r="D71" s="79"/>
      <c r="E71" s="80"/>
      <c r="F71" s="36"/>
      <c r="G71" s="81"/>
      <c r="H71" s="62"/>
      <c r="I71" s="62"/>
      <c r="J71" s="62"/>
      <c r="K71" s="62"/>
      <c r="L71" s="40"/>
      <c r="M71" s="62"/>
    </row>
    <row r="72" spans="1:13" s="2" customFormat="1" ht="12.75" x14ac:dyDescent="0.2">
      <c r="A72" s="62"/>
      <c r="B72" s="62"/>
      <c r="C72" s="62"/>
      <c r="D72" s="79"/>
      <c r="E72" s="80"/>
      <c r="F72" s="36"/>
      <c r="G72" s="81"/>
      <c r="H72" s="62"/>
      <c r="I72" s="62"/>
      <c r="J72" s="62"/>
      <c r="K72" s="62"/>
      <c r="L72" s="40"/>
      <c r="M72" s="62"/>
    </row>
    <row r="73" spans="1:13" s="2" customFormat="1" ht="12.75" x14ac:dyDescent="0.2">
      <c r="A73" s="62"/>
      <c r="B73" s="62"/>
      <c r="C73" s="62"/>
      <c r="D73" s="79"/>
      <c r="E73" s="80"/>
      <c r="F73" s="36"/>
      <c r="G73" s="81"/>
      <c r="H73" s="62"/>
      <c r="I73" s="62"/>
      <c r="J73" s="62"/>
      <c r="K73" s="62"/>
      <c r="L73" s="40"/>
      <c r="M73" s="62"/>
    </row>
    <row r="74" spans="1:13" s="2" customFormat="1" ht="12.75" x14ac:dyDescent="0.2">
      <c r="A74" s="62"/>
      <c r="B74" s="62"/>
      <c r="C74" s="62"/>
      <c r="D74" s="79"/>
      <c r="E74" s="80"/>
      <c r="F74" s="36"/>
      <c r="G74" s="81"/>
      <c r="H74" s="62"/>
      <c r="I74" s="62"/>
      <c r="J74" s="62"/>
      <c r="K74" s="62"/>
      <c r="L74" s="40"/>
      <c r="M74" s="62"/>
    </row>
    <row r="75" spans="1:13" s="2" customFormat="1" ht="12.75" x14ac:dyDescent="0.2">
      <c r="A75" s="62"/>
      <c r="B75" s="62"/>
      <c r="C75" s="62"/>
      <c r="D75" s="79"/>
      <c r="E75" s="80"/>
      <c r="F75" s="36"/>
      <c r="G75" s="81"/>
      <c r="H75" s="62"/>
      <c r="I75" s="62"/>
      <c r="J75" s="62"/>
      <c r="K75" s="62"/>
      <c r="L75" s="40"/>
      <c r="M75" s="62"/>
    </row>
    <row r="76" spans="1:13" s="2" customFormat="1" ht="12.75" x14ac:dyDescent="0.2">
      <c r="A76" s="62"/>
      <c r="B76" s="62"/>
      <c r="C76" s="62"/>
      <c r="D76" s="79"/>
      <c r="E76" s="80"/>
      <c r="F76" s="36"/>
      <c r="G76" s="81"/>
      <c r="H76" s="62"/>
      <c r="I76" s="62"/>
      <c r="J76" s="62"/>
      <c r="K76" s="62"/>
      <c r="L76" s="40"/>
      <c r="M76" s="62"/>
    </row>
    <row r="77" spans="1:13" s="2" customFormat="1" ht="12.75" x14ac:dyDescent="0.2">
      <c r="A77" s="62"/>
      <c r="B77" s="62"/>
      <c r="C77" s="62"/>
      <c r="D77" s="79"/>
      <c r="E77" s="80"/>
      <c r="F77" s="36"/>
      <c r="G77" s="81"/>
      <c r="H77" s="62"/>
      <c r="I77" s="62"/>
      <c r="J77" s="62"/>
      <c r="K77" s="62"/>
      <c r="L77" s="40"/>
      <c r="M77" s="62"/>
    </row>
    <row r="78" spans="1:13" s="2" customFormat="1" ht="12.75" x14ac:dyDescent="0.2">
      <c r="A78" s="62"/>
      <c r="B78" s="62"/>
      <c r="C78" s="62"/>
      <c r="D78" s="79"/>
      <c r="E78" s="80"/>
      <c r="F78" s="36"/>
      <c r="G78" s="81"/>
      <c r="H78" s="62"/>
      <c r="I78" s="62"/>
      <c r="J78" s="62"/>
      <c r="K78" s="62"/>
      <c r="L78" s="40"/>
      <c r="M78" s="62"/>
    </row>
    <row r="79" spans="1:13" s="2" customFormat="1" ht="12.75" x14ac:dyDescent="0.2">
      <c r="A79" s="62"/>
      <c r="B79" s="62"/>
      <c r="C79" s="62"/>
      <c r="D79" s="79"/>
      <c r="E79" s="80"/>
      <c r="F79" s="36"/>
      <c r="G79" s="81"/>
      <c r="H79" s="62"/>
      <c r="I79" s="62"/>
      <c r="J79" s="62"/>
      <c r="K79" s="62"/>
      <c r="L79" s="40"/>
      <c r="M79" s="62"/>
    </row>
    <row r="80" spans="1:13" s="2" customFormat="1" ht="12.75" x14ac:dyDescent="0.2"/>
    <row r="81" spans="1:13" s="2" customFormat="1" ht="12.75" x14ac:dyDescent="0.2"/>
    <row r="83" spans="1:13" s="2" customFormat="1" ht="12.75" x14ac:dyDescent="0.2">
      <c r="A83" s="82"/>
      <c r="B83" s="82"/>
      <c r="E83" s="82"/>
      <c r="F83" s="82"/>
      <c r="G83" s="82"/>
      <c r="H83" s="83"/>
      <c r="M83" s="82"/>
    </row>
    <row r="84" spans="1:13" s="2" customFormat="1" ht="12.75" x14ac:dyDescent="0.2">
      <c r="A84" s="82"/>
      <c r="B84" s="82"/>
      <c r="E84" s="82"/>
      <c r="F84" s="82"/>
      <c r="G84" s="82"/>
      <c r="H84" s="83"/>
      <c r="M84" s="82"/>
    </row>
    <row r="85" spans="1:13" s="2" customFormat="1" ht="12.75" x14ac:dyDescent="0.2">
      <c r="A85" s="84"/>
      <c r="B85" s="84"/>
    </row>
    <row r="86" spans="1:13" s="2" customFormat="1" ht="12.75" x14ac:dyDescent="0.2">
      <c r="A86" s="85"/>
      <c r="B86" s="85"/>
      <c r="E86" s="85"/>
      <c r="F86" s="84"/>
      <c r="G86" s="84"/>
      <c r="M86" s="86"/>
    </row>
    <row r="87" spans="1:13" s="2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H91"/>
  <sheetViews>
    <sheetView topLeftCell="A10" zoomScale="125" zoomScaleNormal="125" workbookViewId="0">
      <pane xSplit="2" topLeftCell="C1" activePane="topRight" state="frozen"/>
      <selection activeCell="A10" sqref="A10"/>
      <selection pane="topRight" activeCell="N45" sqref="N45"/>
    </sheetView>
  </sheetViews>
  <sheetFormatPr defaultColWidth="9.140625" defaultRowHeight="15" x14ac:dyDescent="0.25"/>
  <cols>
    <col min="1" max="2" width="15.140625" style="2" customWidth="1"/>
    <col min="3" max="3" width="29.28515625" style="2" customWidth="1"/>
    <col min="4" max="4" width="14.85546875" style="2" customWidth="1"/>
    <col min="5" max="5" width="27.42578125" style="2" customWidth="1"/>
    <col min="6" max="7" width="13.7109375" style="2" customWidth="1"/>
    <col min="8" max="8" width="16.5703125" style="2" customWidth="1"/>
    <col min="9" max="9" width="15.5703125" style="2" customWidth="1"/>
    <col min="10" max="10" width="13.42578125" customWidth="1"/>
    <col min="11" max="11" width="23.5703125" customWidth="1"/>
    <col min="12" max="12" width="13.42578125" customWidth="1"/>
    <col min="13" max="13" width="22.5703125" style="2" customWidth="1"/>
    <col min="14" max="16" width="10.85546875" style="2" customWidth="1"/>
    <col min="17" max="17" width="11.28515625" style="2" customWidth="1"/>
    <col min="18" max="1022" width="9.140625" style="2"/>
  </cols>
  <sheetData>
    <row r="1" spans="1:17" s="2" customFormat="1" ht="25.5" x14ac:dyDescent="0.2">
      <c r="A1" s="3"/>
      <c r="B1" s="3" t="s">
        <v>138</v>
      </c>
      <c r="C1" s="4">
        <v>44106</v>
      </c>
      <c r="D1" s="5"/>
      <c r="E1" s="6" t="s">
        <v>139</v>
      </c>
      <c r="F1" s="7"/>
      <c r="G1" s="8"/>
      <c r="K1" s="9" t="s">
        <v>140</v>
      </c>
      <c r="L1" s="9" t="s">
        <v>141</v>
      </c>
      <c r="M1" s="10" t="s">
        <v>142</v>
      </c>
    </row>
    <row r="2" spans="1:17" x14ac:dyDescent="0.25">
      <c r="A2" s="3"/>
      <c r="B2" s="3" t="s">
        <v>143</v>
      </c>
      <c r="C2" s="11">
        <v>8</v>
      </c>
      <c r="D2" s="12"/>
      <c r="E2" s="13">
        <f>SUM(E24,E39,E49,E69,E26,E71)</f>
        <v>148842475.92435649</v>
      </c>
      <c r="F2" s="14"/>
      <c r="G2" s="15"/>
      <c r="H2" s="12"/>
      <c r="I2" s="12"/>
      <c r="J2" s="12"/>
      <c r="K2" s="13">
        <f>SUM(K24,K39,K49,K69,K26,K71)</f>
        <v>150139378.33508208</v>
      </c>
      <c r="L2" s="16">
        <f>SUM(L49,L69,L39,L24,L26,L71)</f>
        <v>1.0000000000000002</v>
      </c>
      <c r="M2" s="17">
        <f>K2/$C$6</f>
        <v>8.0697221774322809</v>
      </c>
      <c r="N2" s="18"/>
    </row>
    <row r="3" spans="1:17" ht="26.25" x14ac:dyDescent="0.25">
      <c r="A3" s="3"/>
      <c r="B3" s="3" t="s">
        <v>144</v>
      </c>
      <c r="C3" s="19">
        <v>18605272.280000001</v>
      </c>
      <c r="D3" s="20"/>
      <c r="E3" s="6" t="s">
        <v>145</v>
      </c>
      <c r="F3" s="14"/>
      <c r="G3" s="15"/>
      <c r="H3" s="12"/>
      <c r="I3" s="12"/>
      <c r="J3" s="12"/>
      <c r="K3" s="6" t="s">
        <v>145</v>
      </c>
      <c r="L3" s="12"/>
      <c r="M3" s="10" t="s">
        <v>146</v>
      </c>
      <c r="N3" s="21"/>
    </row>
    <row r="4" spans="1:17" x14ac:dyDescent="0.25">
      <c r="A4" s="3"/>
      <c r="B4" s="3" t="s">
        <v>147</v>
      </c>
      <c r="C4" s="19">
        <v>0</v>
      </c>
      <c r="D4" s="20"/>
      <c r="E4" s="13">
        <f>SUM(E24,E69,E26)</f>
        <v>25085860.720569607</v>
      </c>
      <c r="F4" s="14"/>
      <c r="G4" s="15"/>
      <c r="H4" s="12"/>
      <c r="I4" s="12"/>
      <c r="J4" s="12"/>
      <c r="K4" s="13">
        <f>SUM(K24,K26,K69)</f>
        <v>25128066.285582613</v>
      </c>
      <c r="L4" s="12"/>
      <c r="M4" s="17">
        <f>K4/$C$6</f>
        <v>1.350588473386352</v>
      </c>
      <c r="N4" s="21"/>
    </row>
    <row r="5" spans="1:17" x14ac:dyDescent="0.25">
      <c r="A5" s="3"/>
      <c r="B5" s="3" t="s">
        <v>148</v>
      </c>
      <c r="C5" s="19">
        <v>0</v>
      </c>
      <c r="D5" s="20"/>
      <c r="E5" s="14"/>
      <c r="F5" s="14"/>
      <c r="G5" s="22">
        <f>SUM(D24,D26,D39,D49,D69,D71)</f>
        <v>1.0000020000000003</v>
      </c>
      <c r="H5" s="12"/>
      <c r="I5" s="12"/>
      <c r="J5" s="12"/>
      <c r="K5" s="12"/>
      <c r="L5" s="12"/>
      <c r="M5" s="12"/>
      <c r="N5" s="21"/>
    </row>
    <row r="6" spans="1:17" x14ac:dyDescent="0.25">
      <c r="A6" s="3"/>
      <c r="B6" s="3" t="s">
        <v>149</v>
      </c>
      <c r="C6" s="19">
        <f>C3+C4-C5</f>
        <v>18605272.280000001</v>
      </c>
      <c r="D6" s="20"/>
      <c r="E6" s="14"/>
      <c r="F6" s="14"/>
      <c r="G6" s="15"/>
      <c r="H6" s="12"/>
      <c r="I6" s="12"/>
      <c r="J6" s="12"/>
      <c r="K6" s="12"/>
      <c r="L6" s="12"/>
      <c r="M6" s="12"/>
      <c r="N6" s="21"/>
    </row>
    <row r="7" spans="1:17" x14ac:dyDescent="0.25">
      <c r="A7" s="23"/>
      <c r="B7" s="24"/>
      <c r="C7" s="24"/>
      <c r="D7" s="25"/>
      <c r="E7" s="26"/>
      <c r="F7" s="26"/>
      <c r="G7" s="26"/>
      <c r="H7" s="27"/>
      <c r="I7" s="27"/>
      <c r="J7" s="27"/>
      <c r="K7" s="12"/>
      <c r="L7" s="12"/>
      <c r="M7" s="12"/>
      <c r="N7" s="21"/>
    </row>
    <row r="8" spans="1:17" s="32" customFormat="1" ht="38.25" x14ac:dyDescent="0.2">
      <c r="A8" s="28" t="s">
        <v>150</v>
      </c>
      <c r="B8" s="28" t="s">
        <v>151</v>
      </c>
      <c r="C8" s="29" t="s">
        <v>1</v>
      </c>
      <c r="D8" s="29" t="s">
        <v>152</v>
      </c>
      <c r="E8" s="29" t="s">
        <v>153</v>
      </c>
      <c r="F8" s="29" t="s">
        <v>154</v>
      </c>
      <c r="G8" s="29" t="s">
        <v>155</v>
      </c>
      <c r="H8" s="29" t="s">
        <v>156</v>
      </c>
      <c r="I8" s="29" t="s">
        <v>157</v>
      </c>
      <c r="J8" s="29" t="s">
        <v>158</v>
      </c>
      <c r="K8" s="30" t="s">
        <v>159</v>
      </c>
      <c r="L8" s="30" t="s">
        <v>160</v>
      </c>
      <c r="M8" s="30" t="s">
        <v>161</v>
      </c>
      <c r="N8" s="31"/>
      <c r="Q8" s="33"/>
    </row>
    <row r="9" spans="1:17" s="43" customFormat="1" ht="12.75" x14ac:dyDescent="0.25">
      <c r="A9" s="34" t="s">
        <v>162</v>
      </c>
      <c r="B9" s="34" t="s">
        <v>46</v>
      </c>
      <c r="C9" s="34" t="s">
        <v>47</v>
      </c>
      <c r="D9" s="35">
        <v>9.2060000000000006E-3</v>
      </c>
      <c r="E9" s="36">
        <f>'Oct 02'!$D9*$C$6*$C$2</f>
        <v>1370241.0928774402</v>
      </c>
      <c r="F9" s="36">
        <v>530.89992025518302</v>
      </c>
      <c r="G9" s="37">
        <f>'Oct 02'!$E9/'Oct 02'!$F9</f>
        <v>2580.9781478566024</v>
      </c>
      <c r="H9" s="34">
        <v>2508</v>
      </c>
      <c r="I9" s="34">
        <v>2581</v>
      </c>
      <c r="J9" s="38">
        <f t="shared" ref="J9:J22" si="0">I9-H9</f>
        <v>73</v>
      </c>
      <c r="K9" s="39">
        <f>'Oct 02'!$F9*'Oct 02'!$I9</f>
        <v>1370252.6941786273</v>
      </c>
      <c r="L9" s="40">
        <f>'Oct 02'!$K9/$K$2</f>
        <v>9.1265376836747528E-3</v>
      </c>
      <c r="M9" s="41"/>
      <c r="N9" s="42"/>
      <c r="O9" s="87"/>
    </row>
    <row r="10" spans="1:17" s="43" customFormat="1" ht="12.75" customHeight="1" x14ac:dyDescent="0.25">
      <c r="A10" s="34" t="s">
        <v>162</v>
      </c>
      <c r="B10" s="34" t="s">
        <v>55</v>
      </c>
      <c r="C10" s="34" t="s">
        <v>56</v>
      </c>
      <c r="D10" s="35">
        <v>9.2060000000000006E-3</v>
      </c>
      <c r="E10" s="36">
        <f>'Oct 02'!$D10*$C$6*$C$2</f>
        <v>1370241.0928774402</v>
      </c>
      <c r="F10" s="36">
        <v>430.44995203069999</v>
      </c>
      <c r="G10" s="37">
        <f>'Oct 02'!$E10/'Oct 02'!$F10</f>
        <v>3183.2762122824297</v>
      </c>
      <c r="H10" s="34">
        <v>3127</v>
      </c>
      <c r="I10" s="34">
        <v>3183</v>
      </c>
      <c r="J10" s="38">
        <f t="shared" si="0"/>
        <v>56</v>
      </c>
      <c r="K10" s="39">
        <f>'Oct 02'!$F10*'Oct 02'!$I10</f>
        <v>1370122.197313718</v>
      </c>
      <c r="L10" s="40">
        <f>'Oct 02'!$K10/$K$2</f>
        <v>9.1256685121998433E-3</v>
      </c>
      <c r="M10" s="41"/>
    </row>
    <row r="11" spans="1:17" s="43" customFormat="1" ht="12.75" customHeight="1" x14ac:dyDescent="0.25">
      <c r="A11" s="34" t="s">
        <v>162</v>
      </c>
      <c r="B11" s="34" t="s">
        <v>37</v>
      </c>
      <c r="C11" s="34" t="s">
        <v>38</v>
      </c>
      <c r="D11" s="35">
        <v>9.2060000000000006E-3</v>
      </c>
      <c r="E11" s="36">
        <f>'Oct 02'!$D11*$C$6*$C$2</f>
        <v>1370241.0928774402</v>
      </c>
      <c r="F11" s="36">
        <v>76.5</v>
      </c>
      <c r="G11" s="37">
        <f>'Oct 02'!$E11/'Oct 02'!$F11</f>
        <v>17911.648272907714</v>
      </c>
      <c r="H11" s="34">
        <v>17556</v>
      </c>
      <c r="I11" s="34">
        <v>17912</v>
      </c>
      <c r="J11" s="38">
        <f t="shared" si="0"/>
        <v>356</v>
      </c>
      <c r="K11" s="39">
        <f>'Oct 02'!$F11*'Oct 02'!$I11</f>
        <v>1370268</v>
      </c>
      <c r="L11" s="40">
        <f>'Oct 02'!$K11/$K$2</f>
        <v>9.1266396277585923E-3</v>
      </c>
      <c r="M11" s="41"/>
    </row>
    <row r="12" spans="1:17" s="44" customFormat="1" ht="12.75" customHeight="1" x14ac:dyDescent="0.25">
      <c r="A12" s="34" t="s">
        <v>162</v>
      </c>
      <c r="B12" s="34" t="s">
        <v>23</v>
      </c>
      <c r="C12" s="34" t="s">
        <v>24</v>
      </c>
      <c r="D12" s="35">
        <v>9.2060000000000006E-3</v>
      </c>
      <c r="E12" s="36">
        <f>'Oct 02'!$D12*$C$6*$C$2</f>
        <v>1370241.0928774402</v>
      </c>
      <c r="F12" s="36">
        <v>215.40006265664201</v>
      </c>
      <c r="G12" s="37">
        <f>'Oct 02'!$E12/'Oct 02'!$F12</f>
        <v>6361.3774108398002</v>
      </c>
      <c r="H12" s="34">
        <v>6384</v>
      </c>
      <c r="I12" s="34">
        <v>6361</v>
      </c>
      <c r="J12" s="38">
        <f t="shared" si="0"/>
        <v>-23</v>
      </c>
      <c r="K12" s="39">
        <f>'Oct 02'!$F12*'Oct 02'!$I12</f>
        <v>1370159.7985588999</v>
      </c>
      <c r="L12" s="40">
        <f>'Oct 02'!$K12/$K$2</f>
        <v>9.125918954459555E-3</v>
      </c>
      <c r="M12" s="34"/>
    </row>
    <row r="13" spans="1:17" s="44" customFormat="1" ht="12.75" customHeight="1" x14ac:dyDescent="0.25">
      <c r="A13" s="34" t="s">
        <v>162</v>
      </c>
      <c r="B13" s="34" t="s">
        <v>60</v>
      </c>
      <c r="C13" s="34" t="s">
        <v>61</v>
      </c>
      <c r="D13" s="35">
        <v>9.2060000000000006E-3</v>
      </c>
      <c r="E13" s="36">
        <f>'Oct 02'!$D13*$C$6*$C$2</f>
        <v>1370241.0928774402</v>
      </c>
      <c r="F13" s="36">
        <v>473</v>
      </c>
      <c r="G13" s="37">
        <f>'Oct 02'!$E13/'Oct 02'!$F13</f>
        <v>2896.9156297620298</v>
      </c>
      <c r="H13" s="34">
        <v>2913</v>
      </c>
      <c r="I13" s="34">
        <v>2897</v>
      </c>
      <c r="J13" s="38">
        <f t="shared" si="0"/>
        <v>-16</v>
      </c>
      <c r="K13" s="39">
        <f>'Oct 02'!$F13*'Oct 02'!$I13</f>
        <v>1370281</v>
      </c>
      <c r="L13" s="40">
        <f>'Oct 02'!$K13/$K$2</f>
        <v>9.1267262139703119E-3</v>
      </c>
      <c r="M13" s="34"/>
    </row>
    <row r="14" spans="1:17" s="44" customFormat="1" ht="12.75" customHeight="1" x14ac:dyDescent="0.25">
      <c r="A14" s="34" t="s">
        <v>162</v>
      </c>
      <c r="B14" s="34" t="s">
        <v>163</v>
      </c>
      <c r="C14" s="34" t="s">
        <v>164</v>
      </c>
      <c r="D14" s="35">
        <v>9.2060000000000006E-3</v>
      </c>
      <c r="E14" s="36">
        <f>'Oct 02'!$D14*$C$6*$C$2</f>
        <v>1370241.0928774402</v>
      </c>
      <c r="F14" s="36">
        <v>3151</v>
      </c>
      <c r="G14" s="37">
        <f>'Oct 02'!$E14/'Oct 02'!$F14</f>
        <v>434.85912182717874</v>
      </c>
      <c r="H14" s="34">
        <v>434</v>
      </c>
      <c r="I14" s="34">
        <v>435</v>
      </c>
      <c r="J14" s="38">
        <f t="shared" si="0"/>
        <v>1</v>
      </c>
      <c r="K14" s="39">
        <f>'Oct 02'!$F14*'Oct 02'!$I14</f>
        <v>1370685</v>
      </c>
      <c r="L14" s="40">
        <f>'Oct 02'!$K14/$K$2</f>
        <v>9.1294170470114511E-3</v>
      </c>
      <c r="M14" s="34"/>
    </row>
    <row r="15" spans="1:17" s="44" customFormat="1" ht="12.75" customHeight="1" x14ac:dyDescent="0.25">
      <c r="A15" s="34" t="s">
        <v>162</v>
      </c>
      <c r="B15" s="34" t="s">
        <v>52</v>
      </c>
      <c r="C15" s="34" t="s">
        <v>53</v>
      </c>
      <c r="D15" s="35">
        <v>9.2060000000000006E-3</v>
      </c>
      <c r="E15" s="36">
        <f>'Oct 02'!$D15*$C$6*$C$2</f>
        <v>1370241.0928774402</v>
      </c>
      <c r="F15" s="36">
        <v>193.10005750431301</v>
      </c>
      <c r="G15" s="37">
        <f>'Oct 02'!$E15/'Oct 02'!$F15</f>
        <v>7096.0159752766258</v>
      </c>
      <c r="H15" s="34">
        <v>6956</v>
      </c>
      <c r="I15" s="34">
        <v>7096</v>
      </c>
      <c r="J15" s="38">
        <f t="shared" si="0"/>
        <v>140</v>
      </c>
      <c r="K15" s="39">
        <f>'Oct 02'!$F15*'Oct 02'!$I15</f>
        <v>1370238.0080506052</v>
      </c>
      <c r="L15" s="40">
        <f>'Oct 02'!$K15/$K$2</f>
        <v>9.1264398670447312E-3</v>
      </c>
      <c r="M15" s="34"/>
    </row>
    <row r="16" spans="1:17" s="44" customFormat="1" ht="12.75" customHeight="1" x14ac:dyDescent="0.25">
      <c r="A16" s="34" t="s">
        <v>162</v>
      </c>
      <c r="B16" s="34" t="s">
        <v>165</v>
      </c>
      <c r="C16" s="34" t="s">
        <v>166</v>
      </c>
      <c r="D16" s="35">
        <v>9.2060000000000006E-3</v>
      </c>
      <c r="E16" s="36">
        <f>'Oct 02'!$D16*$C$6*$C$2</f>
        <v>1370241.0928774402</v>
      </c>
      <c r="F16" s="36">
        <v>275.789966155684</v>
      </c>
      <c r="G16" s="37">
        <f>'Oct 02'!$E16/'Oct 02'!$F16</f>
        <v>4968.4225716316896</v>
      </c>
      <c r="H16" s="34">
        <v>5023</v>
      </c>
      <c r="I16" s="34">
        <v>4968</v>
      </c>
      <c r="J16" s="38">
        <f t="shared" si="0"/>
        <v>-55</v>
      </c>
      <c r="K16" s="39">
        <f>'Oct 02'!$F16*'Oct 02'!$I16</f>
        <v>1370124.5518614382</v>
      </c>
      <c r="L16" s="40">
        <f>'Oct 02'!$K16/$K$2</f>
        <v>9.125684194612722E-3</v>
      </c>
      <c r="M16" s="34"/>
    </row>
    <row r="17" spans="1:15" s="44" customFormat="1" ht="12.75" customHeight="1" x14ac:dyDescent="0.25">
      <c r="A17" s="34" t="s">
        <v>162</v>
      </c>
      <c r="B17" s="34" t="s">
        <v>43</v>
      </c>
      <c r="C17" s="34" t="s">
        <v>44</v>
      </c>
      <c r="D17" s="35">
        <v>9.2060000000000006E-3</v>
      </c>
      <c r="E17" s="36">
        <f>'Oct 02'!$D17*$C$6*$C$2</f>
        <v>1370241.0928774402</v>
      </c>
      <c r="F17" s="36">
        <v>1112.3597178683401</v>
      </c>
      <c r="G17" s="37">
        <f>'Oct 02'!$E17/'Oct 02'!$F17</f>
        <v>1231.8327164015689</v>
      </c>
      <c r="H17" s="34">
        <v>1276</v>
      </c>
      <c r="I17" s="34">
        <v>1232</v>
      </c>
      <c r="J17" s="38">
        <f t="shared" si="0"/>
        <v>-44</v>
      </c>
      <c r="K17" s="39">
        <f>'Oct 02'!$F17*'Oct 02'!$I17</f>
        <v>1370427.172413795</v>
      </c>
      <c r="L17" s="40">
        <f>'Oct 02'!$K17/$K$2</f>
        <v>9.1276997920909618E-3</v>
      </c>
      <c r="M17" s="34"/>
    </row>
    <row r="18" spans="1:15" s="44" customFormat="1" ht="12.75" customHeight="1" x14ac:dyDescent="0.25">
      <c r="A18" s="34" t="s">
        <v>162</v>
      </c>
      <c r="B18" s="34" t="s">
        <v>167</v>
      </c>
      <c r="C18" s="34" t="s">
        <v>168</v>
      </c>
      <c r="D18" s="35">
        <v>9.2060000000000006E-3</v>
      </c>
      <c r="E18" s="36">
        <f>'Oct 02'!$D18*$C$6*$C$2</f>
        <v>1370241.0928774402</v>
      </c>
      <c r="F18" s="36">
        <v>165</v>
      </c>
      <c r="G18" s="37">
        <f>'Oct 02'!$E18/'Oct 02'!$F18</f>
        <v>8304.4914719844855</v>
      </c>
      <c r="H18" s="34">
        <v>8231</v>
      </c>
      <c r="I18" s="34">
        <v>8304</v>
      </c>
      <c r="J18" s="38">
        <f t="shared" si="0"/>
        <v>73</v>
      </c>
      <c r="K18" s="39">
        <f>'Oct 02'!$F18*'Oct 02'!$I18</f>
        <v>1370160</v>
      </c>
      <c r="L18" s="40">
        <f>'Oct 02'!$K18/$K$2</f>
        <v>9.1259202961535349E-3</v>
      </c>
      <c r="M18" s="34"/>
    </row>
    <row r="19" spans="1:15" s="44" customFormat="1" ht="12.75" customHeight="1" x14ac:dyDescent="0.25">
      <c r="A19" s="34" t="s">
        <v>162</v>
      </c>
      <c r="B19" s="34" t="s">
        <v>28</v>
      </c>
      <c r="C19" s="34" t="s">
        <v>29</v>
      </c>
      <c r="D19" s="35">
        <v>9.2060000000000006E-3</v>
      </c>
      <c r="E19" s="36">
        <f>'Oct 02'!$D19*$C$6*$C$2</f>
        <v>1370241.0928774402</v>
      </c>
      <c r="F19" s="36">
        <v>251.84007285974499</v>
      </c>
      <c r="G19" s="37">
        <f>'Oct 02'!$E19/'Oct 02'!$F19</f>
        <v>5440.9176320424431</v>
      </c>
      <c r="H19" s="34">
        <v>5490</v>
      </c>
      <c r="I19" s="34">
        <v>5441</v>
      </c>
      <c r="J19" s="38">
        <f t="shared" si="0"/>
        <v>-49</v>
      </c>
      <c r="K19" s="39">
        <f>'Oct 02'!$F19*'Oct 02'!$I19</f>
        <v>1370261.8364298726</v>
      </c>
      <c r="L19" s="40">
        <f>'Oct 02'!$K19/$K$2</f>
        <v>9.1265985754364377E-3</v>
      </c>
      <c r="M19" s="34"/>
    </row>
    <row r="20" spans="1:15" s="44" customFormat="1" ht="12.75" customHeight="1" x14ac:dyDescent="0.25">
      <c r="A20" s="34" t="s">
        <v>162</v>
      </c>
      <c r="B20" s="34" t="s">
        <v>169</v>
      </c>
      <c r="C20" s="34" t="s">
        <v>170</v>
      </c>
      <c r="D20" s="35">
        <v>9.2060000000000006E-3</v>
      </c>
      <c r="E20" s="36">
        <f>'Oct 02'!$D20*$C$6*$C$2</f>
        <v>1370241.0928774402</v>
      </c>
      <c r="F20" s="36">
        <v>198.50007083156299</v>
      </c>
      <c r="G20" s="37">
        <f>'Oct 02'!$E20/'Oct 02'!$F20</f>
        <v>6902.9753346544476</v>
      </c>
      <c r="H20" s="34">
        <v>7059</v>
      </c>
      <c r="I20" s="34">
        <v>6903</v>
      </c>
      <c r="J20" s="38">
        <f t="shared" si="0"/>
        <v>-156</v>
      </c>
      <c r="K20" s="39">
        <f>'Oct 02'!$F20*'Oct 02'!$I20</f>
        <v>1370245.9889502793</v>
      </c>
      <c r="L20" s="40">
        <f>'Oct 02'!$K20/$K$2</f>
        <v>9.126493023650031E-3</v>
      </c>
      <c r="M20" s="34"/>
    </row>
    <row r="21" spans="1:15" s="44" customFormat="1" ht="12.75" customHeight="1" x14ac:dyDescent="0.25">
      <c r="A21" s="34" t="s">
        <v>162</v>
      </c>
      <c r="B21" s="34" t="s">
        <v>171</v>
      </c>
      <c r="C21" s="34" t="s">
        <v>172</v>
      </c>
      <c r="D21" s="35">
        <v>9.2060000000000006E-3</v>
      </c>
      <c r="E21" s="36">
        <f>'Oct 02'!$D21*$C$6*$C$2</f>
        <v>1370241.0928774402</v>
      </c>
      <c r="F21" s="36">
        <v>207.150022939287</v>
      </c>
      <c r="G21" s="37">
        <f>'Oct 02'!$E21/'Oct 02'!$F21</f>
        <v>6614.7281734988765</v>
      </c>
      <c r="H21" s="34">
        <v>6539</v>
      </c>
      <c r="I21" s="34">
        <v>6615</v>
      </c>
      <c r="J21" s="38">
        <f t="shared" si="0"/>
        <v>76</v>
      </c>
      <c r="K21" s="39">
        <f>'Oct 02'!$F21*'Oct 02'!$I21</f>
        <v>1370297.4017433834</v>
      </c>
      <c r="L21" s="40">
        <f>'Oct 02'!$K21/$K$2</f>
        <v>9.1268354574184016E-3</v>
      </c>
      <c r="M21" s="34"/>
    </row>
    <row r="22" spans="1:15" s="44" customFormat="1" ht="12.75" customHeight="1" x14ac:dyDescent="0.25">
      <c r="A22" s="34" t="s">
        <v>162</v>
      </c>
      <c r="B22" s="34" t="s">
        <v>173</v>
      </c>
      <c r="C22" s="34" t="s">
        <v>174</v>
      </c>
      <c r="D22" s="35">
        <v>9.2060000000000006E-3</v>
      </c>
      <c r="E22" s="36">
        <f>'Oct 02'!$D22*$C$6*$C$2</f>
        <v>1370241.0928774402</v>
      </c>
      <c r="F22" s="36">
        <v>82.569979594286394</v>
      </c>
      <c r="G22" s="37">
        <f>'Oct 02'!$E22/'Oct 02'!$F22</f>
        <v>16594.906521840257</v>
      </c>
      <c r="H22" s="34">
        <v>16662</v>
      </c>
      <c r="I22" s="34">
        <v>16595</v>
      </c>
      <c r="J22" s="38">
        <f t="shared" si="0"/>
        <v>-67</v>
      </c>
      <c r="K22" s="39">
        <f>'Oct 02'!$F22*'Oct 02'!$I22</f>
        <v>1370248.8113671828</v>
      </c>
      <c r="L22" s="40">
        <f>'Oct 02'!$K22/$K$2</f>
        <v>9.1265118222952288E-3</v>
      </c>
      <c r="M22" s="34"/>
    </row>
    <row r="23" spans="1:15" s="44" customFormat="1" ht="12.75" customHeight="1" x14ac:dyDescent="0.25">
      <c r="A23" s="34"/>
      <c r="B23" s="34"/>
      <c r="C23" s="34"/>
      <c r="D23" s="35"/>
      <c r="E23" s="36"/>
      <c r="F23" s="36"/>
      <c r="G23" s="37"/>
      <c r="H23" s="34"/>
      <c r="I23" s="34"/>
      <c r="J23" s="45"/>
      <c r="K23" s="36"/>
      <c r="L23" s="46"/>
      <c r="M23" s="34"/>
    </row>
    <row r="24" spans="1:15" s="53" customFormat="1" ht="12.75" customHeight="1" x14ac:dyDescent="0.25">
      <c r="A24" s="47" t="s">
        <v>175</v>
      </c>
      <c r="B24" s="47"/>
      <c r="C24" s="47"/>
      <c r="D24" s="48">
        <f>SUM(D9:D23)</f>
        <v>0.12888400000000003</v>
      </c>
      <c r="E24" s="49">
        <f>'Oct 02'!$D24*$C$6*$C$2</f>
        <v>19183375.300284166</v>
      </c>
      <c r="F24" s="50"/>
      <c r="G24" s="50"/>
      <c r="H24" s="47"/>
      <c r="I24" s="47"/>
      <c r="J24" s="51"/>
      <c r="K24" s="49">
        <f>SUM(K9:K23)</f>
        <v>19183772.4608678</v>
      </c>
      <c r="L24" s="52">
        <f>'Oct 02'!$K24/$K$2</f>
        <v>0.12777309106777654</v>
      </c>
      <c r="M24" s="47"/>
    </row>
    <row r="25" spans="1:15" s="44" customFormat="1" ht="12.75" customHeight="1" x14ac:dyDescent="0.25">
      <c r="A25" s="34"/>
      <c r="B25" s="34"/>
      <c r="C25" s="34"/>
      <c r="D25" s="35"/>
      <c r="E25" s="36"/>
      <c r="F25" s="36"/>
      <c r="G25" s="37"/>
      <c r="H25" s="34"/>
      <c r="I25" s="34"/>
      <c r="J25" s="45"/>
      <c r="K25" s="36"/>
      <c r="L25" s="40"/>
      <c r="M25" s="34"/>
    </row>
    <row r="26" spans="1:15" s="43" customFormat="1" ht="12.75" customHeight="1" x14ac:dyDescent="0.25">
      <c r="A26" s="54"/>
      <c r="B26" s="47" t="s">
        <v>34</v>
      </c>
      <c r="C26" s="54" t="s">
        <v>35</v>
      </c>
      <c r="D26" s="55">
        <v>2.4785999999999999E-2</v>
      </c>
      <c r="E26" s="56">
        <f>'Oct 02'!$D26*$C$6*$C$2</f>
        <v>3689202.2298566401</v>
      </c>
      <c r="F26" s="50">
        <v>18.229998639693701</v>
      </c>
      <c r="G26" s="57">
        <f>'Oct 02'!$E26/'Oct 02'!$F26</f>
        <v>202369.85765999081</v>
      </c>
      <c r="H26" s="54">
        <v>205836</v>
      </c>
      <c r="I26" s="54">
        <v>202370</v>
      </c>
      <c r="J26" s="58">
        <f>I26-H26</f>
        <v>-3466</v>
      </c>
      <c r="K26" s="59">
        <f>'Oct 02'!$F26*'Oct 02'!$I26</f>
        <v>3689204.8247148143</v>
      </c>
      <c r="L26" s="52">
        <f>'Oct 02'!$K26/$K$2</f>
        <v>2.4571866925419274E-2</v>
      </c>
      <c r="M26" s="47"/>
      <c r="O26" s="42"/>
    </row>
    <row r="27" spans="1:15" s="43" customFormat="1" ht="12.75" customHeight="1" x14ac:dyDescent="0.25">
      <c r="A27" s="34"/>
      <c r="B27" s="34"/>
      <c r="C27" s="34"/>
      <c r="D27" s="35"/>
      <c r="E27" s="36"/>
      <c r="F27" s="36"/>
      <c r="G27" s="37"/>
      <c r="H27" s="34"/>
      <c r="I27" s="34"/>
      <c r="J27" s="45"/>
      <c r="K27" s="39"/>
      <c r="L27" s="40"/>
      <c r="M27" s="34"/>
      <c r="O27" s="42"/>
    </row>
    <row r="28" spans="1:15" s="2" customFormat="1" ht="25.5" x14ac:dyDescent="0.2">
      <c r="A28" s="34" t="s">
        <v>176</v>
      </c>
      <c r="B28" s="60" t="s">
        <v>109</v>
      </c>
      <c r="C28" s="61" t="s">
        <v>110</v>
      </c>
      <c r="D28" s="35">
        <v>3.2717999999999997E-2</v>
      </c>
      <c r="E28" s="36">
        <f>'Oct 02'!$D28*$C$6*$C$2</f>
        <v>4869818.3876563199</v>
      </c>
      <c r="F28" s="36">
        <v>160052.96774193601</v>
      </c>
      <c r="G28" s="37">
        <f>'Oct 02'!$E28/'Oct 02'!$F28</f>
        <v>30.426292347844811</v>
      </c>
      <c r="H28" s="34">
        <v>31</v>
      </c>
      <c r="I28" s="34">
        <v>30</v>
      </c>
      <c r="J28" s="38">
        <f t="shared" ref="J28:J37" si="1">I28-H28</f>
        <v>-1</v>
      </c>
      <c r="K28" s="39">
        <f>'Oct 02'!$F28*'Oct 02'!$I28</f>
        <v>4801589.0322580803</v>
      </c>
      <c r="L28" s="40">
        <f>'Oct 02'!$K28/$K$2</f>
        <v>3.1980877272196118E-2</v>
      </c>
      <c r="M28" s="62"/>
    </row>
    <row r="29" spans="1:15" s="2" customFormat="1" ht="25.5" x14ac:dyDescent="0.2">
      <c r="A29" s="34" t="s">
        <v>176</v>
      </c>
      <c r="B29" s="60" t="s">
        <v>115</v>
      </c>
      <c r="C29" s="61" t="s">
        <v>116</v>
      </c>
      <c r="D29" s="35">
        <v>3.2717999999999997E-2</v>
      </c>
      <c r="E29" s="36">
        <f>'Oct 02'!$D29*$C$6*$C$2</f>
        <v>4869818.3876563199</v>
      </c>
      <c r="F29" s="36">
        <v>222137.5</v>
      </c>
      <c r="G29" s="37">
        <f>'Oct 02'!$E29/'Oct 02'!$F29</f>
        <v>21.922540713100307</v>
      </c>
      <c r="H29" s="34">
        <v>22</v>
      </c>
      <c r="I29" s="34">
        <v>22</v>
      </c>
      <c r="J29" s="38">
        <f t="shared" si="1"/>
        <v>0</v>
      </c>
      <c r="K29" s="39">
        <f>'Oct 02'!$F29*'Oct 02'!$I29</f>
        <v>4887025</v>
      </c>
      <c r="L29" s="40">
        <f>'Oct 02'!$K29/$K$2</f>
        <v>3.2549921640764388E-2</v>
      </c>
      <c r="M29" s="62"/>
    </row>
    <row r="30" spans="1:15" s="2" customFormat="1" ht="25.5" x14ac:dyDescent="0.2">
      <c r="A30" s="34" t="s">
        <v>176</v>
      </c>
      <c r="B30" s="60" t="s">
        <v>121</v>
      </c>
      <c r="C30" s="61" t="s">
        <v>122</v>
      </c>
      <c r="D30" s="35">
        <v>3.2717999999999997E-2</v>
      </c>
      <c r="E30" s="36">
        <f>'Oct 02'!$D30*$C$6*$C$2</f>
        <v>4869818.3876563199</v>
      </c>
      <c r="F30" s="36">
        <v>176519.07142857101</v>
      </c>
      <c r="G30" s="37">
        <f>'Oct 02'!$E30/'Oct 02'!$F30</f>
        <v>27.588058039535444</v>
      </c>
      <c r="H30" s="34">
        <v>28</v>
      </c>
      <c r="I30" s="34">
        <v>28</v>
      </c>
      <c r="J30" s="38">
        <f t="shared" si="1"/>
        <v>0</v>
      </c>
      <c r="K30" s="39">
        <f>'Oct 02'!$F30*'Oct 02'!$I30</f>
        <v>4942533.9999999888</v>
      </c>
      <c r="L30" s="40">
        <f>'Oct 02'!$K30/$K$2</f>
        <v>3.2919638104330018E-2</v>
      </c>
      <c r="M30" s="62"/>
    </row>
    <row r="31" spans="1:15" s="2" customFormat="1" ht="25.5" x14ac:dyDescent="0.2">
      <c r="A31" s="34" t="s">
        <v>176</v>
      </c>
      <c r="B31" s="60" t="s">
        <v>124</v>
      </c>
      <c r="C31" s="61" t="s">
        <v>125</v>
      </c>
      <c r="D31" s="35">
        <v>3.2717999999999997E-2</v>
      </c>
      <c r="E31" s="36">
        <f>'Oct 02'!$D31*$C$6*$C$2</f>
        <v>4869818.3876563199</v>
      </c>
      <c r="F31" s="36">
        <v>126057.820512821</v>
      </c>
      <c r="G31" s="37">
        <f>'Oct 02'!$E31/'Oct 02'!$F31</f>
        <v>38.63162450251172</v>
      </c>
      <c r="H31" s="34">
        <v>39</v>
      </c>
      <c r="I31" s="34">
        <v>39</v>
      </c>
      <c r="J31" s="38">
        <f t="shared" si="1"/>
        <v>0</v>
      </c>
      <c r="K31" s="39">
        <f>'Oct 02'!$F31*'Oct 02'!$I31</f>
        <v>4916255.0000000186</v>
      </c>
      <c r="L31" s="40">
        <f>'Oct 02'!$K31/$K$2</f>
        <v>3.2744607407577557E-2</v>
      </c>
      <c r="M31" s="62"/>
    </row>
    <row r="32" spans="1:15" s="2" customFormat="1" ht="25.5" x14ac:dyDescent="0.2">
      <c r="A32" s="34" t="s">
        <v>176</v>
      </c>
      <c r="B32" s="60" t="s">
        <v>127</v>
      </c>
      <c r="C32" s="61" t="s">
        <v>128</v>
      </c>
      <c r="D32" s="35">
        <v>3.2717999999999997E-2</v>
      </c>
      <c r="E32" s="36">
        <f>'Oct 02'!$D32*$C$6*$C$2</f>
        <v>4869818.3876563199</v>
      </c>
      <c r="F32" s="36">
        <v>139640.628571429</v>
      </c>
      <c r="G32" s="37">
        <f>'Oct 02'!$E32/'Oct 02'!$F32</f>
        <v>34.873936314067144</v>
      </c>
      <c r="H32" s="34">
        <v>35</v>
      </c>
      <c r="I32" s="34">
        <v>35</v>
      </c>
      <c r="J32" s="38">
        <f t="shared" si="1"/>
        <v>0</v>
      </c>
      <c r="K32" s="39">
        <f>'Oct 02'!$F32*'Oct 02'!$I32</f>
        <v>4887422.0000000149</v>
      </c>
      <c r="L32" s="40">
        <f>'Oct 02'!$K32/$K$2</f>
        <v>3.2552565850460853E-2</v>
      </c>
      <c r="M32" s="62"/>
    </row>
    <row r="33" spans="1:15" s="2" customFormat="1" ht="25.5" x14ac:dyDescent="0.2">
      <c r="A33" s="34" t="s">
        <v>176</v>
      </c>
      <c r="B33" s="60" t="s">
        <v>135</v>
      </c>
      <c r="C33" s="61" t="s">
        <v>136</v>
      </c>
      <c r="D33" s="35">
        <v>3.2717999999999997E-2</v>
      </c>
      <c r="E33" s="36">
        <f>'Oct 02'!$D33*$C$6*$C$2</f>
        <v>4869818.3876563199</v>
      </c>
      <c r="F33" s="36">
        <v>220964.045454545</v>
      </c>
      <c r="G33" s="37">
        <f>'Oct 02'!$E33/'Oct 02'!$F33</f>
        <v>22.038962844107147</v>
      </c>
      <c r="H33" s="34">
        <v>22</v>
      </c>
      <c r="I33" s="34">
        <v>22</v>
      </c>
      <c r="J33" s="38">
        <f t="shared" si="1"/>
        <v>0</v>
      </c>
      <c r="K33" s="39">
        <f>'Oct 02'!$F33*'Oct 02'!$I33</f>
        <v>4861208.9999999898</v>
      </c>
      <c r="L33" s="40">
        <f>'Oct 02'!$K33/$K$2</f>
        <v>3.2377974745244453E-2</v>
      </c>
      <c r="M33" s="62"/>
    </row>
    <row r="34" spans="1:15" s="43" customFormat="1" ht="25.5" customHeight="1" x14ac:dyDescent="0.25">
      <c r="A34" s="34" t="s">
        <v>177</v>
      </c>
      <c r="B34" s="34" t="s">
        <v>178</v>
      </c>
      <c r="C34" s="34" t="s">
        <v>179</v>
      </c>
      <c r="D34" s="35">
        <v>3.2717999999999997E-2</v>
      </c>
      <c r="E34" s="36">
        <f>'Oct 02'!$D34*$C$6*$C$2</f>
        <v>4869818.3876563199</v>
      </c>
      <c r="F34" s="36">
        <v>96150.911764705903</v>
      </c>
      <c r="G34" s="37">
        <f>'Oct 02'!$E34/'Oct 02'!$F34</f>
        <v>50.647656878942705</v>
      </c>
      <c r="H34" s="34">
        <v>34</v>
      </c>
      <c r="I34" s="34">
        <v>51</v>
      </c>
      <c r="J34" s="38">
        <f t="shared" si="1"/>
        <v>17</v>
      </c>
      <c r="K34" s="39">
        <f>'Oct 02'!$F34*'Oct 02'!$I34</f>
        <v>4903696.5000000009</v>
      </c>
      <c r="L34" s="40">
        <f>'Oct 02'!$K34/$K$2</f>
        <v>3.2660961796817205E-2</v>
      </c>
      <c r="M34" s="41"/>
      <c r="O34" s="42"/>
    </row>
    <row r="35" spans="1:15" s="43" customFormat="1" ht="25.5" customHeight="1" x14ac:dyDescent="0.25">
      <c r="A35" s="34" t="s">
        <v>177</v>
      </c>
      <c r="B35" s="34" t="s">
        <v>76</v>
      </c>
      <c r="C35" s="34" t="s">
        <v>77</v>
      </c>
      <c r="D35" s="35">
        <v>3.2717999999999997E-2</v>
      </c>
      <c r="E35" s="36">
        <f>'Oct 02'!$D35*$C$6*$C$2</f>
        <v>4869818.3876563199</v>
      </c>
      <c r="F35" s="36">
        <v>114321.139534884</v>
      </c>
      <c r="G35" s="37">
        <f>'Oct 02'!$E35/'Oct 02'!$F35</f>
        <v>42.597706841177363</v>
      </c>
      <c r="H35" s="34">
        <v>43</v>
      </c>
      <c r="I35" s="34">
        <v>43</v>
      </c>
      <c r="J35" s="38">
        <f t="shared" si="1"/>
        <v>0</v>
      </c>
      <c r="K35" s="39">
        <f>'Oct 02'!$F35*'Oct 02'!$I35</f>
        <v>4915809.0000000121</v>
      </c>
      <c r="L35" s="40">
        <f>'Oct 02'!$K35/$K$2</f>
        <v>3.2741636834467742E-2</v>
      </c>
      <c r="M35" s="41"/>
    </row>
    <row r="36" spans="1:15" s="43" customFormat="1" ht="25.5" customHeight="1" x14ac:dyDescent="0.25">
      <c r="A36" s="34" t="s">
        <v>177</v>
      </c>
      <c r="B36" s="34" t="s">
        <v>180</v>
      </c>
      <c r="C36" s="34" t="s">
        <v>181</v>
      </c>
      <c r="D36" s="35">
        <v>3.2717999999999997E-2</v>
      </c>
      <c r="E36" s="36">
        <f>'Oct 02'!$D36*$C$6*$C$2</f>
        <v>4869818.3876563199</v>
      </c>
      <c r="F36" s="36">
        <v>114204.965517241</v>
      </c>
      <c r="G36" s="37">
        <f>'Oct 02'!$E36/'Oct 02'!$F36</f>
        <v>42.641038991611495</v>
      </c>
      <c r="H36" s="34">
        <v>29</v>
      </c>
      <c r="I36" s="34">
        <v>43</v>
      </c>
      <c r="J36" s="38">
        <f t="shared" si="1"/>
        <v>14</v>
      </c>
      <c r="K36" s="39">
        <f>'Oct 02'!$F36*'Oct 02'!$I36</f>
        <v>4910813.5172413625</v>
      </c>
      <c r="L36" s="40">
        <f>'Oct 02'!$K36/$K$2</f>
        <v>3.2708364532330586E-2</v>
      </c>
      <c r="M36" s="41"/>
    </row>
    <row r="37" spans="1:15" s="43" customFormat="1" ht="25.5" x14ac:dyDescent="0.25">
      <c r="A37" s="34" t="s">
        <v>177</v>
      </c>
      <c r="B37" s="34" t="s">
        <v>71</v>
      </c>
      <c r="C37" s="34" t="s">
        <v>72</v>
      </c>
      <c r="D37" s="35">
        <v>3.2717999999999997E-2</v>
      </c>
      <c r="E37" s="36">
        <f>'Oct 02'!$D37*$C$6*$C$2</f>
        <v>4869818.3876563199</v>
      </c>
      <c r="F37" s="36">
        <v>132986.70270270301</v>
      </c>
      <c r="G37" s="37">
        <f>'Oct 02'!$E37/'Oct 02'!$F37</f>
        <v>36.618836986604514</v>
      </c>
      <c r="H37" s="34">
        <v>37</v>
      </c>
      <c r="I37" s="34">
        <v>37</v>
      </c>
      <c r="J37" s="38">
        <f t="shared" si="1"/>
        <v>0</v>
      </c>
      <c r="K37" s="39">
        <f>'Oct 02'!$F37*'Oct 02'!$I37</f>
        <v>4920508.0000000112</v>
      </c>
      <c r="L37" s="40">
        <f>'Oct 02'!$K37/$K$2</f>
        <v>3.2772934419765531E-2</v>
      </c>
      <c r="M37" s="41"/>
    </row>
    <row r="38" spans="1:15" s="64" customFormat="1" ht="12.75" x14ac:dyDescent="0.2">
      <c r="A38" s="34"/>
      <c r="B38" s="61"/>
      <c r="C38" s="61"/>
      <c r="D38" s="35"/>
      <c r="E38" s="63"/>
      <c r="F38" s="36"/>
      <c r="G38" s="37"/>
      <c r="H38" s="34"/>
      <c r="I38" s="34"/>
      <c r="J38" s="45"/>
      <c r="K38" s="36"/>
      <c r="L38" s="46"/>
      <c r="M38" s="62"/>
    </row>
    <row r="39" spans="1:15" s="15" customFormat="1" ht="12.75" x14ac:dyDescent="0.2">
      <c r="A39" s="47" t="s">
        <v>182</v>
      </c>
      <c r="B39" s="65"/>
      <c r="C39" s="65"/>
      <c r="D39" s="55">
        <f>SUBTOTAL(9,D28:D38)</f>
        <v>0.32718000000000003</v>
      </c>
      <c r="E39" s="66">
        <f>'Oct 02'!$D39*$C$6*$C$2</f>
        <v>48698183.876563206</v>
      </c>
      <c r="F39" s="67"/>
      <c r="G39" s="68"/>
      <c r="H39" s="54"/>
      <c r="I39" s="54"/>
      <c r="J39" s="58"/>
      <c r="K39" s="66">
        <f>SUM(K28:K38)</f>
        <v>48946861.049499482</v>
      </c>
      <c r="L39" s="69">
        <f>'Oct 02'!$K39/$K$2</f>
        <v>0.32600948260395446</v>
      </c>
      <c r="M39" s="70"/>
    </row>
    <row r="40" spans="1:15" s="64" customFormat="1" ht="12.75" x14ac:dyDescent="0.2">
      <c r="A40" s="34"/>
      <c r="B40" s="61"/>
      <c r="C40" s="61"/>
      <c r="D40" s="35"/>
      <c r="E40" s="63"/>
      <c r="F40" s="36"/>
      <c r="G40" s="37"/>
      <c r="H40" s="34"/>
      <c r="I40" s="34"/>
      <c r="J40" s="45"/>
      <c r="K40" s="36"/>
      <c r="L40" s="40"/>
      <c r="M40" s="62"/>
    </row>
    <row r="41" spans="1:15" s="2" customFormat="1" ht="24.75" customHeight="1" x14ac:dyDescent="0.2">
      <c r="A41" s="34" t="s">
        <v>176</v>
      </c>
      <c r="B41" s="61" t="s">
        <v>183</v>
      </c>
      <c r="C41" s="61" t="s">
        <v>131</v>
      </c>
      <c r="D41" s="35">
        <v>7.1429000000000006E-2</v>
      </c>
      <c r="E41" s="36">
        <f>'Oct 02'!$D41*$C$6*$C$2</f>
        <v>10631647.949504962</v>
      </c>
      <c r="F41" s="36">
        <v>416349.57692307699</v>
      </c>
      <c r="G41" s="37">
        <f>'Oct 02'!$E41/'Oct 02'!$F41</f>
        <v>25.535387901857341</v>
      </c>
      <c r="H41" s="34">
        <v>26</v>
      </c>
      <c r="I41" s="34">
        <v>26</v>
      </c>
      <c r="J41" s="38">
        <f t="shared" ref="J41:J47" si="2">I41-H41</f>
        <v>0</v>
      </c>
      <c r="K41" s="39">
        <f>'Oct 02'!$F41*'Oct 02'!$I41</f>
        <v>10825089.000000002</v>
      </c>
      <c r="L41" s="40">
        <f>'Oct 02'!$K41/$K$2</f>
        <v>7.2100265233818239E-2</v>
      </c>
      <c r="M41" s="62"/>
    </row>
    <row r="42" spans="1:15" s="43" customFormat="1" ht="25.5" x14ac:dyDescent="0.25">
      <c r="A42" s="34" t="s">
        <v>177</v>
      </c>
      <c r="B42" s="34" t="s">
        <v>82</v>
      </c>
      <c r="C42" s="34" t="s">
        <v>83</v>
      </c>
      <c r="D42" s="35">
        <v>7.1429000000000006E-2</v>
      </c>
      <c r="E42" s="36">
        <f>'Oct 02'!$D42*$C$6*$C$2</f>
        <v>10631647.949504962</v>
      </c>
      <c r="F42" s="36">
        <v>249387.48837209301</v>
      </c>
      <c r="G42" s="37">
        <f>'Oct 02'!$E42/'Oct 02'!$F42</f>
        <v>42.631039828438588</v>
      </c>
      <c r="H42" s="34">
        <v>43</v>
      </c>
      <c r="I42" s="34">
        <v>43</v>
      </c>
      <c r="J42" s="38">
        <f t="shared" si="2"/>
        <v>0</v>
      </c>
      <c r="K42" s="39">
        <f>'Oct 02'!$F42*'Oct 02'!$I42</f>
        <v>10723662</v>
      </c>
      <c r="L42" s="40">
        <f>'Oct 02'!$K42/$K$2</f>
        <v>7.1424712949502547E-2</v>
      </c>
      <c r="M42" s="41"/>
    </row>
    <row r="43" spans="1:15" s="43" customFormat="1" ht="25.5" x14ac:dyDescent="0.25">
      <c r="A43" s="34" t="s">
        <v>177</v>
      </c>
      <c r="B43" s="34" t="s">
        <v>184</v>
      </c>
      <c r="C43" s="34" t="s">
        <v>105</v>
      </c>
      <c r="D43" s="35">
        <v>7.1429000000000006E-2</v>
      </c>
      <c r="E43" s="36">
        <f>'Oct 02'!$D43*$C$6*$C$2</f>
        <v>10631647.949504962</v>
      </c>
      <c r="F43" s="36">
        <v>416395.19230769202</v>
      </c>
      <c r="G43" s="37">
        <f>'Oct 02'!$E43/'Oct 02'!$F43</f>
        <v>25.532590543573779</v>
      </c>
      <c r="H43" s="34">
        <v>26</v>
      </c>
      <c r="I43" s="34">
        <v>26</v>
      </c>
      <c r="J43" s="38">
        <f t="shared" si="2"/>
        <v>0</v>
      </c>
      <c r="K43" s="39">
        <f>'Oct 02'!$F43*'Oct 02'!$I43</f>
        <v>10826274.999999993</v>
      </c>
      <c r="L43" s="40">
        <f>'Oct 02'!$K43/$K$2</f>
        <v>7.2108164560518148E-2</v>
      </c>
      <c r="M43" s="41"/>
    </row>
    <row r="44" spans="1:15" s="43" customFormat="1" ht="25.5" x14ac:dyDescent="0.25">
      <c r="A44" s="34" t="s">
        <v>177</v>
      </c>
      <c r="B44" s="34" t="s">
        <v>107</v>
      </c>
      <c r="C44" s="34" t="s">
        <v>108</v>
      </c>
      <c r="D44" s="35">
        <v>7.1429000000000006E-2</v>
      </c>
      <c r="E44" s="36">
        <f>'Oct 02'!$D44*$C$6*$C$2</f>
        <v>10631647.949504962</v>
      </c>
      <c r="F44" s="36">
        <v>249837.48837209301</v>
      </c>
      <c r="G44" s="37">
        <f>'Oct 02'!$E44/'Oct 02'!$F44</f>
        <v>42.554254042415053</v>
      </c>
      <c r="H44" s="34">
        <v>43</v>
      </c>
      <c r="I44" s="34">
        <v>43</v>
      </c>
      <c r="J44" s="38">
        <f t="shared" si="2"/>
        <v>0</v>
      </c>
      <c r="K44" s="39">
        <f>'Oct 02'!$F44*'Oct 02'!$I44</f>
        <v>10743012</v>
      </c>
      <c r="L44" s="40">
        <f>'Oct 02'!$K44/$K$2</f>
        <v>7.1553593195408549E-2</v>
      </c>
      <c r="M44" s="41"/>
    </row>
    <row r="45" spans="1:15" s="43" customFormat="1" ht="25.5" x14ac:dyDescent="0.25">
      <c r="A45" s="34" t="s">
        <v>177</v>
      </c>
      <c r="B45" s="34" t="s">
        <v>185</v>
      </c>
      <c r="C45" s="34" t="s">
        <v>86</v>
      </c>
      <c r="D45" s="35">
        <v>7.1429000000000006E-2</v>
      </c>
      <c r="E45" s="36">
        <f>'Oct 02'!$D45*$C$6*$C$2</f>
        <v>10631647.949504962</v>
      </c>
      <c r="F45" s="36">
        <v>161223.53731343299</v>
      </c>
      <c r="G45" s="37">
        <f>'Oct 02'!$E45/'Oct 02'!$F45</f>
        <v>65.943522432683551</v>
      </c>
      <c r="H45" s="34">
        <v>67</v>
      </c>
      <c r="I45" s="34">
        <v>67</v>
      </c>
      <c r="J45" s="38">
        <f t="shared" si="2"/>
        <v>0</v>
      </c>
      <c r="K45" s="39">
        <f>'Oct 02'!$F45*'Oct 02'!$I45</f>
        <v>10801977.000000009</v>
      </c>
      <c r="L45" s="40">
        <f>'Oct 02'!$K45/$K$2</f>
        <v>7.1946328270336132E-2</v>
      </c>
      <c r="M45" s="41"/>
    </row>
    <row r="46" spans="1:15" s="43" customFormat="1" ht="25.5" x14ac:dyDescent="0.25">
      <c r="A46" s="34" t="s">
        <v>177</v>
      </c>
      <c r="B46" s="34" t="s">
        <v>186</v>
      </c>
      <c r="C46" s="34" t="s">
        <v>187</v>
      </c>
      <c r="D46" s="35">
        <v>7.1429000000000006E-2</v>
      </c>
      <c r="E46" s="36">
        <f>'Oct 02'!$D46*$C$6*$C$2</f>
        <v>10631647.949504962</v>
      </c>
      <c r="F46" s="36">
        <v>176438.91803278701</v>
      </c>
      <c r="G46" s="37">
        <f>'Oct 02'!$E46/'Oct 02'!$F46</f>
        <v>60.256819005936784</v>
      </c>
      <c r="H46" s="34">
        <v>61</v>
      </c>
      <c r="I46" s="34">
        <v>61</v>
      </c>
      <c r="J46" s="38">
        <f t="shared" si="2"/>
        <v>0</v>
      </c>
      <c r="K46" s="39">
        <f>'Oct 02'!$F46*'Oct 02'!$I46</f>
        <v>10762774.000000007</v>
      </c>
      <c r="L46" s="40">
        <f>'Oct 02'!$K46/$K$2</f>
        <v>7.1685217558178346E-2</v>
      </c>
      <c r="M46" s="41"/>
    </row>
    <row r="47" spans="1:15" s="43" customFormat="1" ht="25.5" x14ac:dyDescent="0.25">
      <c r="A47" s="34" t="s">
        <v>177</v>
      </c>
      <c r="B47" s="34" t="s">
        <v>188</v>
      </c>
      <c r="C47" s="34" t="s">
        <v>189</v>
      </c>
      <c r="D47" s="35">
        <v>7.1429000000000006E-2</v>
      </c>
      <c r="E47" s="36">
        <f>'Oct 02'!$D47*$C$6*$C$2</f>
        <v>10631647.949504962</v>
      </c>
      <c r="F47" s="36">
        <v>716177.46666666702</v>
      </c>
      <c r="G47" s="37">
        <f>'Oct 02'!$E47/'Oct 02'!$F47</f>
        <v>14.844990863770484</v>
      </c>
      <c r="H47" s="34">
        <v>15</v>
      </c>
      <c r="I47" s="34">
        <v>15</v>
      </c>
      <c r="J47" s="38">
        <f t="shared" si="2"/>
        <v>0</v>
      </c>
      <c r="K47" s="39">
        <f>'Oct 02'!$F47*'Oct 02'!$I47</f>
        <v>10742662.000000006</v>
      </c>
      <c r="L47" s="40">
        <f>'Oct 02'!$K47/$K$2</f>
        <v>7.1551262028169985E-2</v>
      </c>
      <c r="M47" s="41"/>
    </row>
    <row r="48" spans="1:15" s="44" customFormat="1" ht="12.75" x14ac:dyDescent="0.25">
      <c r="A48" s="34"/>
      <c r="B48" s="34"/>
      <c r="C48" s="34"/>
      <c r="D48" s="35"/>
      <c r="E48" s="36"/>
      <c r="F48" s="36"/>
      <c r="G48" s="37"/>
      <c r="H48" s="34"/>
      <c r="I48" s="34"/>
      <c r="J48" s="45"/>
      <c r="K48" s="36"/>
      <c r="L48" s="40"/>
      <c r="M48" s="34"/>
    </row>
    <row r="49" spans="1:16" s="53" customFormat="1" ht="25.5" x14ac:dyDescent="0.25">
      <c r="A49" s="47" t="s">
        <v>190</v>
      </c>
      <c r="B49" s="47"/>
      <c r="C49" s="47"/>
      <c r="D49" s="55">
        <f>SUBTOTAL(9,D41:D48)</f>
        <v>0.50000300000000009</v>
      </c>
      <c r="E49" s="49">
        <f>'Oct 02'!$D49*$C$6*$C$2</f>
        <v>74421535.646534741</v>
      </c>
      <c r="F49" s="68"/>
      <c r="G49" s="68"/>
      <c r="H49" s="54"/>
      <c r="I49" s="54"/>
      <c r="J49" s="58"/>
      <c r="K49" s="49">
        <f>SUM(K41:K48)</f>
        <v>75425451.000000015</v>
      </c>
      <c r="L49" s="71">
        <f>'Oct 02'!$K49/$K$2</f>
        <v>0.50236954379593191</v>
      </c>
      <c r="M49" s="47"/>
    </row>
    <row r="50" spans="1:16" s="44" customFormat="1" ht="12.75" x14ac:dyDescent="0.25">
      <c r="A50" s="34"/>
      <c r="B50" s="34"/>
      <c r="C50" s="34"/>
      <c r="D50" s="35"/>
      <c r="E50" s="36"/>
      <c r="F50" s="36"/>
      <c r="G50" s="37"/>
      <c r="H50" s="34"/>
      <c r="I50" s="34"/>
      <c r="J50" s="45"/>
      <c r="K50" s="36"/>
      <c r="L50" s="40"/>
      <c r="M50" s="34"/>
    </row>
    <row r="51" spans="1:16" s="43" customFormat="1" ht="12.75" x14ac:dyDescent="0.25">
      <c r="A51" s="34"/>
      <c r="B51" s="34"/>
      <c r="C51" s="34"/>
      <c r="D51" s="35"/>
      <c r="E51" s="36"/>
      <c r="F51" s="36"/>
      <c r="G51" s="72"/>
      <c r="H51" s="34"/>
      <c r="I51" s="34"/>
      <c r="J51" s="38"/>
      <c r="K51" s="39"/>
      <c r="L51" s="40"/>
      <c r="M51" s="41"/>
    </row>
    <row r="52" spans="1:16" s="43" customFormat="1" ht="25.5" x14ac:dyDescent="0.25">
      <c r="A52" s="34" t="s">
        <v>191</v>
      </c>
      <c r="B52" s="34" t="s">
        <v>192</v>
      </c>
      <c r="C52" s="34" t="s">
        <v>64</v>
      </c>
      <c r="D52" s="35">
        <v>1.487E-3</v>
      </c>
      <c r="E52" s="36">
        <f>'Oct 02'!$D52*$C$6*$C$2</f>
        <v>221328.31904288003</v>
      </c>
      <c r="F52" s="36">
        <v>42619</v>
      </c>
      <c r="G52" s="72">
        <f>'Oct 02'!$E52/'Oct 02'!$F52</f>
        <v>5.1931842380834849</v>
      </c>
      <c r="H52" s="34">
        <v>5</v>
      </c>
      <c r="I52" s="34">
        <v>5</v>
      </c>
      <c r="J52" s="38">
        <f t="shared" ref="J52:J61" si="3">I52-H52</f>
        <v>0</v>
      </c>
      <c r="K52" s="39">
        <f>'Oct 02'!$F52*'Oct 02'!$I52</f>
        <v>213095</v>
      </c>
      <c r="L52" s="40">
        <f>'Oct 02'!$K52/$K$2</f>
        <v>1.4193145220330746E-3</v>
      </c>
      <c r="M52" s="41"/>
    </row>
    <row r="53" spans="1:16" s="43" customFormat="1" ht="25.5" x14ac:dyDescent="0.25">
      <c r="A53" s="34" t="s">
        <v>191</v>
      </c>
      <c r="B53" s="34" t="s">
        <v>193</v>
      </c>
      <c r="C53" s="34" t="s">
        <v>74</v>
      </c>
      <c r="D53" s="35">
        <v>1.487E-3</v>
      </c>
      <c r="E53" s="36">
        <f>'Oct 02'!$D53*$C$6*$C$2</f>
        <v>221328.31904288003</v>
      </c>
      <c r="F53" s="36">
        <v>158523</v>
      </c>
      <c r="G53" s="72">
        <f>'Oct 02'!$E53/'Oct 02'!$F53</f>
        <v>1.3961905782938755</v>
      </c>
      <c r="H53" s="34">
        <v>1</v>
      </c>
      <c r="I53" s="34">
        <v>1</v>
      </c>
      <c r="J53" s="38">
        <f t="shared" si="3"/>
        <v>0</v>
      </c>
      <c r="K53" s="39">
        <f>'Oct 02'!$F53*'Oct 02'!$I53</f>
        <v>158523</v>
      </c>
      <c r="L53" s="40">
        <f>'Oct 02'!$K53/$K$2</f>
        <v>1.0558389261890195E-3</v>
      </c>
      <c r="M53" s="41"/>
      <c r="P53" s="43" t="s">
        <v>194</v>
      </c>
    </row>
    <row r="54" spans="1:16" s="43" customFormat="1" ht="25.5" x14ac:dyDescent="0.25">
      <c r="A54" s="34" t="s">
        <v>191</v>
      </c>
      <c r="B54" s="34" t="s">
        <v>195</v>
      </c>
      <c r="C54" s="34" t="s">
        <v>93</v>
      </c>
      <c r="D54" s="35">
        <v>1.487E-3</v>
      </c>
      <c r="E54" s="36">
        <f>'Oct 02'!$D54*$C$6*$C$2</f>
        <v>221328.31904288003</v>
      </c>
      <c r="F54" s="36">
        <v>84461</v>
      </c>
      <c r="G54" s="72">
        <f>'Oct 02'!$E54/'Oct 02'!$F54</f>
        <v>2.620479499921621</v>
      </c>
      <c r="H54" s="34">
        <v>3</v>
      </c>
      <c r="I54" s="34">
        <v>3</v>
      </c>
      <c r="J54" s="38">
        <f t="shared" si="3"/>
        <v>0</v>
      </c>
      <c r="K54" s="39">
        <f>'Oct 02'!$F54*'Oct 02'!$I54</f>
        <v>253383</v>
      </c>
      <c r="L54" s="40">
        <f>'Oct 02'!$K54/$K$2</f>
        <v>1.6876518526305476E-3</v>
      </c>
      <c r="M54" s="41"/>
    </row>
    <row r="55" spans="1:16" s="43" customFormat="1" ht="25.5" x14ac:dyDescent="0.25">
      <c r="A55" s="34" t="s">
        <v>191</v>
      </c>
      <c r="B55" s="34" t="s">
        <v>94</v>
      </c>
      <c r="C55" s="34" t="s">
        <v>95</v>
      </c>
      <c r="D55" s="35">
        <v>1.487E-3</v>
      </c>
      <c r="E55" s="36">
        <f>'Oct 02'!$D55*$C$6*$C$2</f>
        <v>221328.31904288003</v>
      </c>
      <c r="F55" s="36">
        <v>231819</v>
      </c>
      <c r="G55" s="72">
        <f>'Oct 02'!$E55/'Oct 02'!$F55</f>
        <v>0.95474624186490331</v>
      </c>
      <c r="H55" s="34">
        <v>1</v>
      </c>
      <c r="I55" s="34">
        <v>1</v>
      </c>
      <c r="J55" s="38">
        <f t="shared" si="3"/>
        <v>0</v>
      </c>
      <c r="K55" s="39">
        <f>'Oct 02'!$F55*'Oct 02'!$I55</f>
        <v>231819</v>
      </c>
      <c r="L55" s="40">
        <f>'Oct 02'!$K55/$K$2</f>
        <v>1.5440253088208795E-3</v>
      </c>
      <c r="M55" s="41"/>
    </row>
    <row r="56" spans="1:16" s="43" customFormat="1" ht="25.5" x14ac:dyDescent="0.25">
      <c r="A56" s="34" t="s">
        <v>191</v>
      </c>
      <c r="B56" s="34" t="s">
        <v>196</v>
      </c>
      <c r="C56" s="34" t="s">
        <v>197</v>
      </c>
      <c r="D56" s="35">
        <v>1.487E-3</v>
      </c>
      <c r="E56" s="36">
        <f>'Oct 02'!$D56*$C$6*$C$2</f>
        <v>221328.31904288003</v>
      </c>
      <c r="F56" s="36">
        <v>43675.4</v>
      </c>
      <c r="G56" s="72">
        <f>'Oct 02'!$E56/'Oct 02'!$F56</f>
        <v>5.0675739442084105</v>
      </c>
      <c r="H56" s="34">
        <v>5</v>
      </c>
      <c r="I56" s="34">
        <v>5</v>
      </c>
      <c r="J56" s="38">
        <f t="shared" si="3"/>
        <v>0</v>
      </c>
      <c r="K56" s="39">
        <f>'Oct 02'!$F56*'Oct 02'!$I56</f>
        <v>218377</v>
      </c>
      <c r="L56" s="40">
        <f>'Oct 02'!$K56/$K$2</f>
        <v>1.4544951659026103E-3</v>
      </c>
      <c r="M56" s="41"/>
    </row>
    <row r="57" spans="1:16" s="43" customFormat="1" ht="25.5" x14ac:dyDescent="0.25">
      <c r="A57" s="34" t="s">
        <v>191</v>
      </c>
      <c r="B57" s="34" t="s">
        <v>198</v>
      </c>
      <c r="C57" s="34" t="s">
        <v>199</v>
      </c>
      <c r="D57" s="35">
        <v>1.487E-3</v>
      </c>
      <c r="E57" s="36">
        <f>'Oct 02'!$D57*$C$6*$C$2</f>
        <v>221328.31904288003</v>
      </c>
      <c r="F57" s="36">
        <v>45030.400000000001</v>
      </c>
      <c r="G57" s="72">
        <f>'Oct 02'!$E57/'Oct 02'!$F57</f>
        <v>4.9150866757319509</v>
      </c>
      <c r="H57" s="34">
        <v>5</v>
      </c>
      <c r="I57" s="34">
        <v>5</v>
      </c>
      <c r="J57" s="38">
        <f t="shared" si="3"/>
        <v>0</v>
      </c>
      <c r="K57" s="39">
        <f>'Oct 02'!$F57*'Oct 02'!$I57</f>
        <v>225152</v>
      </c>
      <c r="L57" s="40">
        <f>'Oct 02'!$K57/$K$2</f>
        <v>1.4996199031642734E-3</v>
      </c>
      <c r="M57" s="41"/>
    </row>
    <row r="58" spans="1:16" s="43" customFormat="1" ht="25.5" x14ac:dyDescent="0.25">
      <c r="A58" s="34" t="s">
        <v>191</v>
      </c>
      <c r="B58" s="34" t="s">
        <v>200</v>
      </c>
      <c r="C58" s="34" t="s">
        <v>99</v>
      </c>
      <c r="D58" s="35">
        <v>1.487E-3</v>
      </c>
      <c r="E58" s="36">
        <f>'Oct 02'!$D58*$C$6*$C$2</f>
        <v>221328.31904288003</v>
      </c>
      <c r="F58" s="36">
        <v>11901</v>
      </c>
      <c r="G58" s="72">
        <f>'Oct 02'!$E58/'Oct 02'!$F58</f>
        <v>18.597455595570121</v>
      </c>
      <c r="H58" s="34">
        <v>18</v>
      </c>
      <c r="I58" s="34">
        <v>19</v>
      </c>
      <c r="J58" s="38">
        <f t="shared" si="3"/>
        <v>1</v>
      </c>
      <c r="K58" s="39">
        <f>'Oct 02'!$F58*'Oct 02'!$I58</f>
        <v>226119</v>
      </c>
      <c r="L58" s="40">
        <f>'Oct 02'!$K58/$K$2</f>
        <v>1.5060605852206612E-3</v>
      </c>
      <c r="M58" s="41"/>
    </row>
    <row r="59" spans="1:16" s="43" customFormat="1" ht="25.5" x14ac:dyDescent="0.25">
      <c r="A59" s="34" t="s">
        <v>191</v>
      </c>
      <c r="B59" s="34" t="s">
        <v>201</v>
      </c>
      <c r="C59" s="34" t="s">
        <v>102</v>
      </c>
      <c r="D59" s="35">
        <v>1.487E-3</v>
      </c>
      <c r="E59" s="36">
        <f>'Oct 02'!$D59*$C$6*$C$2</f>
        <v>221328.31904288003</v>
      </c>
      <c r="F59" s="36">
        <v>86460.333333333299</v>
      </c>
      <c r="G59" s="72">
        <f>'Oct 02'!$E59/'Oct 02'!$F59</f>
        <v>2.5598827868218579</v>
      </c>
      <c r="H59" s="34">
        <v>3</v>
      </c>
      <c r="I59" s="34">
        <v>3</v>
      </c>
      <c r="J59" s="38">
        <f t="shared" si="3"/>
        <v>0</v>
      </c>
      <c r="K59" s="39">
        <f>'Oct 02'!$F59*'Oct 02'!$I59</f>
        <v>259380.99999999988</v>
      </c>
      <c r="L59" s="40">
        <f>'Oct 02'!$K59/$K$2</f>
        <v>1.727601398622496E-3</v>
      </c>
      <c r="M59" s="41"/>
    </row>
    <row r="60" spans="1:16" s="2" customFormat="1" ht="25.5" x14ac:dyDescent="0.2">
      <c r="A60" s="34" t="s">
        <v>191</v>
      </c>
      <c r="B60" s="61" t="s">
        <v>202</v>
      </c>
      <c r="C60" s="61" t="s">
        <v>133</v>
      </c>
      <c r="D60" s="35">
        <v>1.487E-3</v>
      </c>
      <c r="E60" s="36">
        <f>'Oct 02'!$D60*$C$6*$C$2</f>
        <v>221328.31904288003</v>
      </c>
      <c r="F60" s="36">
        <v>57085</v>
      </c>
      <c r="G60" s="72">
        <f>'Oct 02'!$E60/'Oct 02'!$F60</f>
        <v>3.8771712191097492</v>
      </c>
      <c r="H60" s="34">
        <v>4</v>
      </c>
      <c r="I60" s="34">
        <v>4</v>
      </c>
      <c r="J60" s="38">
        <f t="shared" si="3"/>
        <v>0</v>
      </c>
      <c r="K60" s="39">
        <f>'Oct 02'!$F60*'Oct 02'!$I60</f>
        <v>228340</v>
      </c>
      <c r="L60" s="40">
        <f>'Oct 02'!$K60/$K$2</f>
        <v>1.5208535064690973E-3</v>
      </c>
      <c r="M60" s="62"/>
    </row>
    <row r="61" spans="1:16" s="43" customFormat="1" ht="25.5" x14ac:dyDescent="0.25">
      <c r="A61" s="34" t="s">
        <v>191</v>
      </c>
      <c r="B61" s="34" t="s">
        <v>203</v>
      </c>
      <c r="C61" s="34" t="s">
        <v>204</v>
      </c>
      <c r="D61" s="35">
        <v>1.487E-3</v>
      </c>
      <c r="E61" s="36">
        <f>'Oct 02'!$D61*$C$6*$C$2</f>
        <v>221328.31904288003</v>
      </c>
      <c r="F61" s="36">
        <v>120450</v>
      </c>
      <c r="G61" s="72">
        <f>'Oct 02'!$E61/'Oct 02'!$F61</f>
        <v>1.8375119887329185</v>
      </c>
      <c r="H61" s="34">
        <v>2</v>
      </c>
      <c r="I61" s="34">
        <v>2</v>
      </c>
      <c r="J61" s="38">
        <f t="shared" si="3"/>
        <v>0</v>
      </c>
      <c r="K61" s="39">
        <f>'Oct 02'!$F61*'Oct 02'!$I61</f>
        <v>240900</v>
      </c>
      <c r="L61" s="40">
        <f>'Oct 02'!$K61/$K$2</f>
        <v>1.6045091079460697E-3</v>
      </c>
      <c r="M61" s="41"/>
    </row>
    <row r="62" spans="1:16" s="43" customFormat="1" ht="12.75" x14ac:dyDescent="0.25">
      <c r="A62" s="34"/>
      <c r="B62" s="34"/>
      <c r="C62" s="34"/>
      <c r="D62" s="35"/>
      <c r="E62" s="36"/>
      <c r="F62" s="36"/>
      <c r="G62" s="37"/>
      <c r="H62" s="34"/>
      <c r="I62" s="34"/>
      <c r="J62" s="41"/>
      <c r="K62" s="39"/>
      <c r="L62" s="40"/>
      <c r="M62" s="41"/>
    </row>
    <row r="63" spans="1:16" s="43" customFormat="1" ht="12.75" x14ac:dyDescent="0.25">
      <c r="A63" s="34"/>
      <c r="B63" s="34"/>
      <c r="C63" s="34"/>
      <c r="D63" s="35"/>
      <c r="E63" s="36"/>
      <c r="F63" s="36"/>
      <c r="G63" s="37"/>
      <c r="H63" s="34"/>
      <c r="I63" s="34"/>
      <c r="J63" s="41"/>
      <c r="K63" s="39"/>
      <c r="L63" s="40"/>
      <c r="M63" s="41"/>
    </row>
    <row r="64" spans="1:16" s="43" customFormat="1" ht="12.75" x14ac:dyDescent="0.25">
      <c r="A64" s="34"/>
      <c r="B64" s="34"/>
      <c r="C64" s="34"/>
      <c r="D64" s="35"/>
      <c r="E64" s="36"/>
      <c r="F64" s="36"/>
      <c r="G64" s="37"/>
      <c r="H64" s="34"/>
      <c r="I64" s="34"/>
      <c r="J64" s="41"/>
      <c r="K64" s="39"/>
      <c r="L64" s="40"/>
      <c r="M64" s="41"/>
    </row>
    <row r="65" spans="1:13" s="43" customFormat="1" ht="12.75" x14ac:dyDescent="0.25">
      <c r="A65" s="34"/>
      <c r="B65" s="34"/>
      <c r="C65" s="34"/>
      <c r="D65" s="35"/>
      <c r="E65" s="36"/>
      <c r="F65" s="36"/>
      <c r="G65" s="37"/>
      <c r="H65" s="34"/>
      <c r="I65" s="34"/>
      <c r="J65" s="41"/>
      <c r="K65" s="39"/>
      <c r="L65" s="40"/>
      <c r="M65" s="41"/>
    </row>
    <row r="66" spans="1:13" s="43" customFormat="1" ht="12.75" x14ac:dyDescent="0.25">
      <c r="A66" s="34"/>
      <c r="B66" s="34"/>
      <c r="C66" s="34"/>
      <c r="D66" s="35"/>
      <c r="E66" s="36"/>
      <c r="F66" s="36"/>
      <c r="G66" s="37"/>
      <c r="H66" s="34"/>
      <c r="I66" s="34"/>
      <c r="J66" s="41"/>
      <c r="K66" s="39"/>
      <c r="L66" s="40"/>
      <c r="M66" s="41"/>
    </row>
    <row r="67" spans="1:13" s="43" customFormat="1" ht="12.75" x14ac:dyDescent="0.25">
      <c r="A67" s="34"/>
      <c r="B67" s="34"/>
      <c r="C67" s="34"/>
      <c r="D67" s="35"/>
      <c r="E67" s="36"/>
      <c r="F67" s="36"/>
      <c r="G67" s="37"/>
      <c r="H67" s="34"/>
      <c r="I67" s="34"/>
      <c r="J67" s="41"/>
      <c r="K67" s="39"/>
      <c r="L67" s="40"/>
      <c r="M67" s="41"/>
    </row>
    <row r="68" spans="1:13" s="43" customFormat="1" ht="12.75" x14ac:dyDescent="0.25">
      <c r="A68" s="34"/>
      <c r="B68" s="34"/>
      <c r="C68" s="34"/>
      <c r="D68" s="35"/>
      <c r="E68" s="36"/>
      <c r="F68" s="36"/>
      <c r="G68" s="37"/>
      <c r="H68" s="34"/>
      <c r="I68" s="34"/>
      <c r="J68" s="41"/>
      <c r="K68" s="39"/>
      <c r="L68" s="40"/>
      <c r="M68" s="41"/>
    </row>
    <row r="69" spans="1:13" s="15" customFormat="1" ht="12.75" x14ac:dyDescent="0.2">
      <c r="A69" s="47" t="s">
        <v>205</v>
      </c>
      <c r="B69" s="65"/>
      <c r="C69" s="65"/>
      <c r="D69" s="73">
        <f>SUM(D52:D68)</f>
        <v>1.4870000000000003E-2</v>
      </c>
      <c r="E69" s="49">
        <f>SUM(E51:E68)</f>
        <v>2213283.1904288004</v>
      </c>
      <c r="F69" s="68"/>
      <c r="G69" s="68"/>
      <c r="H69" s="65"/>
      <c r="I69" s="65"/>
      <c r="J69" s="47"/>
      <c r="K69" s="49">
        <f>SUM(K51:K68)</f>
        <v>2255089</v>
      </c>
      <c r="L69" s="52">
        <f>'Oct 02'!$K69/$K$2</f>
        <v>1.501997027699873E-2</v>
      </c>
      <c r="M69" s="59"/>
    </row>
    <row r="70" spans="1:13" s="2" customFormat="1" ht="12.75" x14ac:dyDescent="0.2">
      <c r="A70" s="34"/>
      <c r="B70" s="61"/>
      <c r="C70" s="61"/>
      <c r="D70" s="74"/>
      <c r="E70" s="36"/>
      <c r="F70" s="36"/>
      <c r="G70" s="37"/>
      <c r="H70" s="61"/>
      <c r="I70" s="61"/>
      <c r="J70" s="34"/>
      <c r="K70" s="34"/>
      <c r="L70" s="40"/>
      <c r="M70" s="62"/>
    </row>
    <row r="71" spans="1:13" s="43" customFormat="1" ht="25.5" x14ac:dyDescent="0.25">
      <c r="A71" s="47" t="s">
        <v>206</v>
      </c>
      <c r="B71" s="54" t="s">
        <v>207</v>
      </c>
      <c r="C71" s="54" t="s">
        <v>119</v>
      </c>
      <c r="D71" s="55">
        <v>4.2789999999999998E-3</v>
      </c>
      <c r="E71" s="56">
        <f>'Oct 02'!$D71*$C$6*$C$2</f>
        <v>636895.68068896001</v>
      </c>
      <c r="F71" s="56">
        <v>31950</v>
      </c>
      <c r="G71" s="57">
        <f>'Oct 02'!$E71/'Oct 02'!$F71</f>
        <v>19.934137110765572</v>
      </c>
      <c r="H71" s="54">
        <v>30</v>
      </c>
      <c r="I71" s="54">
        <v>20</v>
      </c>
      <c r="J71" s="75">
        <f>I71-H71</f>
        <v>-10</v>
      </c>
      <c r="K71" s="56">
        <f>'Oct 02'!$F71*'Oct 02'!$I71</f>
        <v>639000</v>
      </c>
      <c r="L71" s="76">
        <f>'Oct 02'!$K71/$K$2</f>
        <v>4.2560453299192134E-3</v>
      </c>
      <c r="M71" s="54"/>
    </row>
    <row r="72" spans="1:13" s="2" customFormat="1" ht="12.75" x14ac:dyDescent="0.2">
      <c r="A72" s="34"/>
      <c r="B72" s="61"/>
      <c r="C72" s="61"/>
      <c r="D72" s="74"/>
      <c r="E72" s="36"/>
      <c r="F72" s="36"/>
      <c r="G72" s="37"/>
      <c r="H72" s="61"/>
      <c r="I72" s="61"/>
      <c r="J72" s="34"/>
      <c r="K72" s="34"/>
      <c r="L72" s="40"/>
      <c r="M72" s="62"/>
    </row>
    <row r="73" spans="1:13" s="2" customFormat="1" ht="12.75" x14ac:dyDescent="0.2">
      <c r="A73" s="34"/>
      <c r="B73" s="61"/>
      <c r="C73" s="61"/>
      <c r="D73" s="77"/>
      <c r="E73" s="63"/>
      <c r="F73" s="36"/>
      <c r="G73" s="37"/>
      <c r="H73" s="61"/>
      <c r="I73" s="61"/>
      <c r="J73" s="34"/>
      <c r="K73" s="34"/>
      <c r="L73" s="40"/>
      <c r="M73" s="62"/>
    </row>
    <row r="74" spans="1:13" s="15" customFormat="1" ht="12.75" x14ac:dyDescent="0.2">
      <c r="A74" s="47" t="s">
        <v>208</v>
      </c>
      <c r="B74" s="65"/>
      <c r="C74" s="65"/>
      <c r="D74" s="65"/>
      <c r="E74" s="78"/>
      <c r="F74" s="78"/>
      <c r="G74" s="47"/>
      <c r="H74" s="65"/>
      <c r="I74" s="65"/>
      <c r="J74" s="65"/>
      <c r="K74" s="78">
        <f>SUM(K24,K26,K39,K49,K69,K71)</f>
        <v>150139378.33508211</v>
      </c>
      <c r="L74" s="52">
        <f>'Oct 02'!$K74/$K$2</f>
        <v>1.0000000000000002</v>
      </c>
      <c r="M74" s="65"/>
    </row>
    <row r="75" spans="1:13" s="2" customFormat="1" ht="12.75" x14ac:dyDescent="0.2">
      <c r="A75" s="62"/>
      <c r="B75" s="62"/>
      <c r="C75" s="62"/>
      <c r="D75" s="79"/>
      <c r="E75" s="80"/>
      <c r="F75" s="36"/>
      <c r="G75" s="81"/>
      <c r="H75" s="62"/>
      <c r="I75" s="62"/>
      <c r="J75" s="62"/>
      <c r="K75" s="62"/>
      <c r="L75" s="40"/>
      <c r="M75" s="62"/>
    </row>
    <row r="76" spans="1:13" s="2" customFormat="1" ht="12.75" x14ac:dyDescent="0.2">
      <c r="A76" s="62"/>
      <c r="B76" s="62"/>
      <c r="C76" s="62"/>
      <c r="D76" s="79"/>
      <c r="E76" s="80"/>
      <c r="F76" s="36"/>
      <c r="G76" s="81"/>
      <c r="H76" s="62"/>
      <c r="I76" s="62"/>
      <c r="J76" s="62"/>
      <c r="K76" s="62"/>
      <c r="L76" s="40"/>
      <c r="M76" s="62"/>
    </row>
    <row r="77" spans="1:13" s="2" customFormat="1" ht="12.75" x14ac:dyDescent="0.2">
      <c r="A77" s="62"/>
      <c r="B77" s="62"/>
      <c r="C77" s="62"/>
      <c r="D77" s="79"/>
      <c r="E77" s="80"/>
      <c r="F77" s="36"/>
      <c r="G77" s="81"/>
      <c r="H77" s="62"/>
      <c r="I77" s="62"/>
      <c r="J77" s="62"/>
      <c r="K77" s="62"/>
      <c r="L77" s="40"/>
      <c r="M77" s="62"/>
    </row>
    <row r="78" spans="1:13" s="2" customFormat="1" ht="12.75" x14ac:dyDescent="0.2">
      <c r="A78" s="62"/>
      <c r="B78" s="62"/>
      <c r="C78" s="62"/>
      <c r="D78" s="79"/>
      <c r="E78" s="80"/>
      <c r="F78" s="36"/>
      <c r="G78" s="81"/>
      <c r="H78" s="62"/>
      <c r="I78" s="62"/>
      <c r="J78" s="62"/>
      <c r="K78" s="62"/>
      <c r="L78" s="40"/>
      <c r="M78" s="62"/>
    </row>
    <row r="79" spans="1:13" s="2" customFormat="1" ht="12.75" x14ac:dyDescent="0.2">
      <c r="A79" s="62"/>
      <c r="B79" s="62"/>
      <c r="C79" s="62"/>
      <c r="D79" s="79"/>
      <c r="E79" s="80"/>
      <c r="F79" s="36"/>
      <c r="G79" s="81"/>
      <c r="H79" s="62"/>
      <c r="I79" s="62"/>
      <c r="J79" s="62"/>
      <c r="K79" s="62"/>
      <c r="L79" s="40"/>
      <c r="M79" s="62"/>
    </row>
    <row r="80" spans="1:13" s="2" customFormat="1" ht="12.75" x14ac:dyDescent="0.2">
      <c r="A80" s="62"/>
      <c r="B80" s="62"/>
      <c r="C80" s="62"/>
      <c r="D80" s="79"/>
      <c r="E80" s="80"/>
      <c r="F80" s="36"/>
      <c r="G80" s="81"/>
      <c r="H80" s="62"/>
      <c r="I80" s="62"/>
      <c r="J80" s="62"/>
      <c r="K80" s="62"/>
      <c r="L80" s="40"/>
      <c r="M80" s="62"/>
    </row>
    <row r="81" spans="1:13" s="2" customFormat="1" ht="12.75" x14ac:dyDescent="0.2">
      <c r="A81" s="62"/>
      <c r="B81" s="62"/>
      <c r="C81" s="62"/>
      <c r="D81" s="79"/>
      <c r="E81" s="80"/>
      <c r="F81" s="36"/>
      <c r="G81" s="81"/>
      <c r="H81" s="62"/>
      <c r="I81" s="62"/>
      <c r="J81" s="62"/>
      <c r="K81" s="62"/>
      <c r="L81" s="40"/>
      <c r="M81" s="62"/>
    </row>
    <row r="82" spans="1:13" s="2" customFormat="1" ht="12.75" x14ac:dyDescent="0.2">
      <c r="A82" s="62"/>
      <c r="B82" s="62"/>
      <c r="C82" s="62"/>
      <c r="D82" s="79"/>
      <c r="E82" s="80"/>
      <c r="F82" s="36"/>
      <c r="G82" s="81"/>
      <c r="H82" s="62"/>
      <c r="I82" s="62"/>
      <c r="J82" s="62"/>
      <c r="K82" s="62"/>
      <c r="L82" s="40"/>
      <c r="M82" s="62"/>
    </row>
    <row r="83" spans="1:13" s="2" customFormat="1" ht="12.75" x14ac:dyDescent="0.2">
      <c r="A83" s="62"/>
      <c r="B83" s="62"/>
      <c r="C83" s="62"/>
      <c r="D83" s="79"/>
      <c r="E83" s="80"/>
      <c r="F83" s="36"/>
      <c r="G83" s="81"/>
      <c r="H83" s="62"/>
      <c r="I83" s="62"/>
      <c r="J83" s="62"/>
      <c r="K83" s="62"/>
      <c r="L83" s="40"/>
      <c r="M83" s="62"/>
    </row>
    <row r="84" spans="1:13" s="2" customFormat="1" ht="12.75" x14ac:dyDescent="0.2"/>
    <row r="85" spans="1:13" s="2" customFormat="1" ht="12.75" x14ac:dyDescent="0.2"/>
    <row r="87" spans="1:13" s="2" customFormat="1" ht="12.75" x14ac:dyDescent="0.2">
      <c r="A87" s="82"/>
      <c r="B87" s="82"/>
      <c r="E87" s="82"/>
      <c r="F87" s="82"/>
      <c r="G87" s="82"/>
      <c r="H87" s="83"/>
      <c r="M87" s="82"/>
    </row>
    <row r="88" spans="1:13" s="2" customFormat="1" ht="12.75" x14ac:dyDescent="0.2">
      <c r="A88" s="82"/>
      <c r="B88" s="82"/>
      <c r="E88" s="82"/>
      <c r="F88" s="82"/>
      <c r="G88" s="82"/>
      <c r="H88" s="83"/>
      <c r="M88" s="82"/>
    </row>
    <row r="89" spans="1:13" s="2" customFormat="1" ht="12.75" x14ac:dyDescent="0.2">
      <c r="A89" s="84"/>
      <c r="B89" s="84"/>
    </row>
    <row r="90" spans="1:13" s="2" customFormat="1" ht="12.75" x14ac:dyDescent="0.2">
      <c r="A90" s="85"/>
      <c r="B90" s="85"/>
      <c r="E90" s="85"/>
      <c r="F90" s="84"/>
      <c r="G90" s="84"/>
      <c r="M90" s="86"/>
    </row>
    <row r="91" spans="1:13" x14ac:dyDescent="0.25">
      <c r="K91" s="2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H92"/>
  <sheetViews>
    <sheetView zoomScale="125" zoomScaleNormal="125" workbookViewId="0">
      <pane xSplit="2" topLeftCell="C1" activePane="topRight" state="frozen"/>
      <selection pane="topRight" activeCell="M29" sqref="M29"/>
    </sheetView>
  </sheetViews>
  <sheetFormatPr defaultColWidth="9.140625" defaultRowHeight="15" x14ac:dyDescent="0.25"/>
  <cols>
    <col min="1" max="2" width="15.140625" style="2" customWidth="1"/>
    <col min="3" max="3" width="29.28515625" style="2" customWidth="1"/>
    <col min="4" max="4" width="14.85546875" style="2" customWidth="1"/>
    <col min="5" max="5" width="27.42578125" style="2" customWidth="1"/>
    <col min="6" max="7" width="13.7109375" style="2" customWidth="1"/>
    <col min="8" max="8" width="16.5703125" style="2" customWidth="1"/>
    <col min="9" max="9" width="15.5703125" style="2" customWidth="1"/>
    <col min="10" max="10" width="13.42578125" customWidth="1"/>
    <col min="11" max="11" width="23.5703125" customWidth="1"/>
    <col min="12" max="12" width="13.42578125" customWidth="1"/>
    <col min="13" max="13" width="22.5703125" style="2" customWidth="1"/>
    <col min="14" max="16" width="10.85546875" style="2" customWidth="1"/>
    <col min="17" max="17" width="11.28515625" style="2" customWidth="1"/>
    <col min="18" max="1022" width="9.140625" style="2"/>
  </cols>
  <sheetData>
    <row r="1" spans="1:17" s="2" customFormat="1" ht="25.5" x14ac:dyDescent="0.2">
      <c r="A1" s="3"/>
      <c r="B1" s="3" t="s">
        <v>138</v>
      </c>
      <c r="C1" s="4">
        <v>44109</v>
      </c>
      <c r="D1" s="5"/>
      <c r="E1" s="6" t="s">
        <v>139</v>
      </c>
      <c r="F1" s="7"/>
      <c r="G1" s="8"/>
      <c r="K1" s="9" t="s">
        <v>140</v>
      </c>
      <c r="L1" s="9" t="s">
        <v>141</v>
      </c>
      <c r="M1" s="10" t="s">
        <v>142</v>
      </c>
    </row>
    <row r="2" spans="1:17" x14ac:dyDescent="0.25">
      <c r="A2" s="3"/>
      <c r="B2" s="3" t="s">
        <v>143</v>
      </c>
      <c r="C2" s="11">
        <v>7.6159999999999997</v>
      </c>
      <c r="D2" s="12"/>
      <c r="E2" s="13">
        <f>SUM(E25,E40,E50,E70,E27,E72)</f>
        <v>140641168.08021426</v>
      </c>
      <c r="F2" s="14"/>
      <c r="G2" s="15"/>
      <c r="H2" s="12"/>
      <c r="I2" s="12"/>
      <c r="J2" s="12"/>
      <c r="K2" s="13">
        <f>SUM(K25,K40,K50,K70,K27,K72)</f>
        <v>146104155.61621127</v>
      </c>
      <c r="L2" s="16">
        <f>SUM(L50,L70,L40,L25,L27,L72)</f>
        <v>1.0000000000000002</v>
      </c>
      <c r="M2" s="17">
        <f>K2/$C$6</f>
        <v>7.9117683856581387</v>
      </c>
      <c r="N2" s="18"/>
    </row>
    <row r="3" spans="1:17" ht="26.25" x14ac:dyDescent="0.25">
      <c r="A3" s="3"/>
      <c r="B3" s="3" t="s">
        <v>144</v>
      </c>
      <c r="C3" s="19">
        <v>18466687.66</v>
      </c>
      <c r="D3" s="20"/>
      <c r="E3" s="6" t="s">
        <v>145</v>
      </c>
      <c r="F3" s="14"/>
      <c r="G3" s="15"/>
      <c r="H3" s="12"/>
      <c r="I3" s="12"/>
      <c r="J3" s="12"/>
      <c r="K3" s="6" t="s">
        <v>145</v>
      </c>
      <c r="L3" s="12"/>
      <c r="M3" s="10" t="s">
        <v>146</v>
      </c>
      <c r="N3" s="21"/>
    </row>
    <row r="4" spans="1:17" x14ac:dyDescent="0.25">
      <c r="A4" s="3"/>
      <c r="B4" s="3" t="s">
        <v>147</v>
      </c>
      <c r="C4" s="19">
        <v>0</v>
      </c>
      <c r="D4" s="20"/>
      <c r="E4" s="13">
        <f>SUM(E25,E70,E27)</f>
        <v>23483043.698702969</v>
      </c>
      <c r="F4" s="14"/>
      <c r="G4" s="15"/>
      <c r="H4" s="12"/>
      <c r="I4" s="12"/>
      <c r="J4" s="12"/>
      <c r="K4" s="13">
        <f>SUM(K25,K27,K70)</f>
        <v>23610350.466840114</v>
      </c>
      <c r="L4" s="12"/>
      <c r="M4" s="17">
        <f>K4/$C$6</f>
        <v>1.2785373804735762</v>
      </c>
      <c r="N4" s="21"/>
    </row>
    <row r="5" spans="1:17" x14ac:dyDescent="0.25">
      <c r="A5" s="3"/>
      <c r="B5" s="3" t="s">
        <v>148</v>
      </c>
      <c r="C5" s="19">
        <v>0</v>
      </c>
      <c r="D5" s="20"/>
      <c r="E5" s="14"/>
      <c r="F5" s="14"/>
      <c r="G5" s="22">
        <f>SUM(D25,D27,D40,D50,D70,D72)</f>
        <v>0.99999200000000021</v>
      </c>
      <c r="H5" s="12"/>
      <c r="I5" s="12"/>
      <c r="J5" s="12"/>
      <c r="K5" s="12"/>
      <c r="L5" s="12"/>
      <c r="M5" s="12"/>
      <c r="N5" s="21"/>
    </row>
    <row r="6" spans="1:17" x14ac:dyDescent="0.25">
      <c r="A6" s="3"/>
      <c r="B6" s="3" t="s">
        <v>149</v>
      </c>
      <c r="C6" s="19">
        <f>C3+C4-C5</f>
        <v>18466687.66</v>
      </c>
      <c r="D6" s="20"/>
      <c r="E6" s="14"/>
      <c r="F6" s="14"/>
      <c r="G6" s="15"/>
      <c r="H6" s="12"/>
      <c r="I6" s="12"/>
      <c r="J6" s="12"/>
      <c r="K6" s="12"/>
      <c r="L6" s="12"/>
      <c r="M6" s="12"/>
      <c r="N6" s="21"/>
    </row>
    <row r="7" spans="1:17" x14ac:dyDescent="0.25">
      <c r="A7" s="23"/>
      <c r="B7" s="24"/>
      <c r="C7" s="24"/>
      <c r="D7" s="25"/>
      <c r="E7" s="26"/>
      <c r="F7" s="26"/>
      <c r="G7" s="26"/>
      <c r="H7" s="27"/>
      <c r="I7" s="27"/>
      <c r="J7" s="27"/>
      <c r="K7" s="12"/>
      <c r="L7" s="12"/>
      <c r="M7" s="12"/>
      <c r="N7" s="21"/>
    </row>
    <row r="8" spans="1:17" s="32" customFormat="1" ht="38.25" x14ac:dyDescent="0.2">
      <c r="A8" s="28" t="s">
        <v>150</v>
      </c>
      <c r="B8" s="28" t="s">
        <v>151</v>
      </c>
      <c r="C8" s="29" t="s">
        <v>1</v>
      </c>
      <c r="D8" s="29" t="s">
        <v>152</v>
      </c>
      <c r="E8" s="29" t="s">
        <v>153</v>
      </c>
      <c r="F8" s="29" t="s">
        <v>154</v>
      </c>
      <c r="G8" s="29" t="s">
        <v>155</v>
      </c>
      <c r="H8" s="29" t="s">
        <v>156</v>
      </c>
      <c r="I8" s="29" t="s">
        <v>157</v>
      </c>
      <c r="J8" s="29" t="s">
        <v>158</v>
      </c>
      <c r="K8" s="30" t="s">
        <v>159</v>
      </c>
      <c r="L8" s="30" t="s">
        <v>160</v>
      </c>
      <c r="M8" s="30" t="s">
        <v>161</v>
      </c>
      <c r="N8" s="31"/>
      <c r="Q8" s="33"/>
    </row>
    <row r="9" spans="1:17" s="43" customFormat="1" ht="12.75" x14ac:dyDescent="0.25">
      <c r="A9" s="34" t="s">
        <v>162</v>
      </c>
      <c r="B9" s="34" t="s">
        <v>46</v>
      </c>
      <c r="C9" s="34" t="s">
        <v>47</v>
      </c>
      <c r="D9" s="35">
        <v>9.4710000000000003E-3</v>
      </c>
      <c r="E9" s="36">
        <f>'Oct 05'!$D9*$C$6*$C$2</f>
        <v>1332023.1590729817</v>
      </c>
      <c r="F9" s="36">
        <v>530.50019372336305</v>
      </c>
      <c r="G9" s="37">
        <f>'Oct 05'!$E9/'Oct 05'!$F9</f>
        <v>2510.881569569387</v>
      </c>
      <c r="H9" s="34">
        <v>2581</v>
      </c>
      <c r="I9" s="34">
        <f>ROUND(Table13895845679910111213144562678910111213141516171819202134[[#This Row],[Target Quantity]],0)</f>
        <v>2511</v>
      </c>
      <c r="J9" s="38">
        <f t="shared" ref="J9:J23" si="0">I9-H9</f>
        <v>-70</v>
      </c>
      <c r="K9" s="39">
        <f>'Oct 05'!$F9*'Oct 05'!$I9</f>
        <v>1332085.9864393647</v>
      </c>
      <c r="L9" s="40">
        <f>'Oct 05'!$K9/$K$2</f>
        <v>9.1173723349697831E-3</v>
      </c>
      <c r="M9" s="41"/>
      <c r="N9" s="42"/>
      <c r="O9" s="87"/>
    </row>
    <row r="10" spans="1:17" s="43" customFormat="1" ht="12.75" customHeight="1" x14ac:dyDescent="0.25">
      <c r="A10" s="34" t="s">
        <v>162</v>
      </c>
      <c r="B10" s="34" t="s">
        <v>55</v>
      </c>
      <c r="C10" s="34" t="s">
        <v>56</v>
      </c>
      <c r="D10" s="35">
        <v>9.4710000000000003E-3</v>
      </c>
      <c r="E10" s="36">
        <f>'Oct 05'!$D10*$C$6*$C$2</f>
        <v>1332023.1590729817</v>
      </c>
      <c r="F10" s="36">
        <v>425</v>
      </c>
      <c r="G10" s="37">
        <f>'Oct 05'!$E10/'Oct 05'!$F10</f>
        <v>3134.1721389952509</v>
      </c>
      <c r="H10" s="34">
        <v>3183</v>
      </c>
      <c r="I10" s="34">
        <f>ROUND(Table13895845679910111213144562678910111213141516171819202134[[#This Row],[Target Quantity]],0)</f>
        <v>3134</v>
      </c>
      <c r="J10" s="38">
        <f t="shared" si="0"/>
        <v>-49</v>
      </c>
      <c r="K10" s="39">
        <f>'Oct 05'!$F10*'Oct 05'!$I10</f>
        <v>1331950</v>
      </c>
      <c r="L10" s="40">
        <f>'Oct 05'!$K10/$K$2</f>
        <v>9.1164415849935686E-3</v>
      </c>
      <c r="M10" s="41"/>
    </row>
    <row r="11" spans="1:17" s="43" customFormat="1" ht="12.75" customHeight="1" x14ac:dyDescent="0.25">
      <c r="A11" s="34" t="s">
        <v>162</v>
      </c>
      <c r="B11" s="34" t="s">
        <v>37</v>
      </c>
      <c r="C11" s="34" t="s">
        <v>38</v>
      </c>
      <c r="D11" s="35">
        <v>9.4710000000000003E-3</v>
      </c>
      <c r="E11" s="36">
        <f>'Oct 05'!$D11*$C$6*$C$2</f>
        <v>1332023.1590729817</v>
      </c>
      <c r="F11" s="36">
        <v>77.119975435462294</v>
      </c>
      <c r="G11" s="37">
        <f>'Oct 05'!$E11/'Oct 05'!$F11</f>
        <v>17272.090033115775</v>
      </c>
      <c r="H11" s="34">
        <v>17912</v>
      </c>
      <c r="I11" s="34">
        <f>ROUND(Table13895845679910111213144562678910111213141516171819202134[[#This Row],[Target Quantity]],0)</f>
        <v>17272</v>
      </c>
      <c r="J11" s="38">
        <f t="shared" si="0"/>
        <v>-640</v>
      </c>
      <c r="K11" s="39">
        <f>'Oct 05'!$F11*'Oct 05'!$I11</f>
        <v>1332016.2157213048</v>
      </c>
      <c r="L11" s="40">
        <f>'Oct 05'!$K11/$K$2</f>
        <v>9.1168947940143893E-3</v>
      </c>
      <c r="M11" s="41"/>
    </row>
    <row r="12" spans="1:17" s="44" customFormat="1" ht="12.75" customHeight="1" x14ac:dyDescent="0.25">
      <c r="A12" s="34" t="s">
        <v>162</v>
      </c>
      <c r="B12" s="34" t="s">
        <v>23</v>
      </c>
      <c r="C12" s="34" t="s">
        <v>24</v>
      </c>
      <c r="D12" s="35">
        <v>9.4710000000000003E-3</v>
      </c>
      <c r="E12" s="36">
        <f>'Oct 05'!$D12*$C$6*$C$2</f>
        <v>1332023.1590729817</v>
      </c>
      <c r="F12" s="36">
        <v>224.50007860399299</v>
      </c>
      <c r="G12" s="37">
        <f>'Oct 05'!$E12/'Oct 05'!$F12</f>
        <v>5933.2859362717845</v>
      </c>
      <c r="H12" s="34">
        <v>6361</v>
      </c>
      <c r="I12" s="34">
        <f>ROUND(Table13895845679910111213144562678910111213141516171819202134[[#This Row],[Target Quantity]],0)</f>
        <v>5933</v>
      </c>
      <c r="J12" s="38">
        <f t="shared" si="0"/>
        <v>-428</v>
      </c>
      <c r="K12" s="39">
        <f>'Oct 05'!$F12*'Oct 05'!$I12</f>
        <v>1331958.9663574905</v>
      </c>
      <c r="L12" s="40">
        <f>'Oct 05'!$K12/$K$2</f>
        <v>9.1165029546202755E-3</v>
      </c>
      <c r="M12" s="34"/>
    </row>
    <row r="13" spans="1:17" s="44" customFormat="1" ht="12.75" customHeight="1" x14ac:dyDescent="0.25">
      <c r="A13" s="34" t="s">
        <v>162</v>
      </c>
      <c r="B13" s="34" t="s">
        <v>60</v>
      </c>
      <c r="C13" s="34" t="s">
        <v>61</v>
      </c>
      <c r="D13" s="35">
        <v>9.4710000000000003E-3</v>
      </c>
      <c r="E13" s="36">
        <f>'Oct 05'!$D13*$C$6*$C$2</f>
        <v>1332023.1590729817</v>
      </c>
      <c r="F13" s="36">
        <v>487</v>
      </c>
      <c r="G13" s="37">
        <f>'Oct 05'!$E13/'Oct 05'!$F13</f>
        <v>2735.1604909096131</v>
      </c>
      <c r="H13" s="34">
        <v>2897</v>
      </c>
      <c r="I13" s="34">
        <f>ROUND(Table13895845679910111213144562678910111213141516171819202134[[#This Row],[Target Quantity]],0)</f>
        <v>2735</v>
      </c>
      <c r="J13" s="38">
        <f t="shared" si="0"/>
        <v>-162</v>
      </c>
      <c r="K13" s="39">
        <f>'Oct 05'!$F13*'Oct 05'!$I13</f>
        <v>1331945</v>
      </c>
      <c r="L13" s="40">
        <f>'Oct 05'!$K13/$K$2</f>
        <v>9.1164073628321324E-3</v>
      </c>
      <c r="M13" s="34"/>
    </row>
    <row r="14" spans="1:17" s="44" customFormat="1" ht="12.75" customHeight="1" x14ac:dyDescent="0.25">
      <c r="A14" s="34" t="s">
        <v>162</v>
      </c>
      <c r="B14" s="34" t="s">
        <v>163</v>
      </c>
      <c r="C14" s="34" t="s">
        <v>164</v>
      </c>
      <c r="D14" s="35">
        <v>9.4710000000000003E-3</v>
      </c>
      <c r="E14" s="36">
        <f>'Oct 05'!$D14*$C$6*$C$2</f>
        <v>1332023.1590729817</v>
      </c>
      <c r="F14" s="36">
        <v>3153.5011494252899</v>
      </c>
      <c r="G14" s="37">
        <f>'Oct 05'!$E14/'Oct 05'!$F14</f>
        <v>422.39501302092003</v>
      </c>
      <c r="H14" s="34">
        <v>435</v>
      </c>
      <c r="I14" s="34">
        <f>ROUND(Table13895845679910111213144562678910111213141516171819202134[[#This Row],[Target Quantity]],0)</f>
        <v>422</v>
      </c>
      <c r="J14" s="38">
        <f t="shared" si="0"/>
        <v>-13</v>
      </c>
      <c r="K14" s="39">
        <f>'Oct 05'!$F14*'Oct 05'!$I14</f>
        <v>1330777.4850574723</v>
      </c>
      <c r="L14" s="40">
        <f>'Oct 05'!$K14/$K$2</f>
        <v>9.1084163858636564E-3</v>
      </c>
      <c r="M14" s="34"/>
    </row>
    <row r="15" spans="1:17" s="44" customFormat="1" ht="12.75" customHeight="1" x14ac:dyDescent="0.25">
      <c r="A15" s="34" t="s">
        <v>162</v>
      </c>
      <c r="B15" s="34" t="s">
        <v>52</v>
      </c>
      <c r="C15" s="34" t="s">
        <v>53</v>
      </c>
      <c r="D15" s="35">
        <v>9.4710000000000003E-3</v>
      </c>
      <c r="E15" s="36">
        <f>'Oct 05'!$D15*$C$6*$C$2</f>
        <v>1332023.1590729817</v>
      </c>
      <c r="F15" s="36">
        <v>193.130073280722</v>
      </c>
      <c r="G15" s="37">
        <f>'Oct 05'!$E15/'Oct 05'!$F15</f>
        <v>6897.0261153312704</v>
      </c>
      <c r="H15" s="34">
        <v>7096</v>
      </c>
      <c r="I15" s="34">
        <f>ROUND(Table13895845679910111213144562678910111213141516171819202134[[#This Row],[Target Quantity]],0)</f>
        <v>6897</v>
      </c>
      <c r="J15" s="38">
        <f t="shared" si="0"/>
        <v>-199</v>
      </c>
      <c r="K15" s="39">
        <f>'Oct 05'!$F15*'Oct 05'!$I15</f>
        <v>1332018.1154171396</v>
      </c>
      <c r="L15" s="40">
        <f>'Oct 05'!$K15/$K$2</f>
        <v>9.1169077963538982E-3</v>
      </c>
      <c r="M15" s="34"/>
    </row>
    <row r="16" spans="1:17" s="44" customFormat="1" ht="12.75" customHeight="1" x14ac:dyDescent="0.25">
      <c r="A16" s="34" t="s">
        <v>162</v>
      </c>
      <c r="B16" s="34" t="s">
        <v>165</v>
      </c>
      <c r="C16" s="34" t="s">
        <v>166</v>
      </c>
      <c r="D16" s="35">
        <v>9.4710000000000003E-3</v>
      </c>
      <c r="E16" s="36">
        <f>'Oct 05'!$D16*$C$6*$C$2</f>
        <v>1332023.1590729817</v>
      </c>
      <c r="F16" s="36">
        <v>273.85004025764903</v>
      </c>
      <c r="G16" s="37">
        <f>'Oct 05'!$E16/'Oct 05'!$F16</f>
        <v>4864.0604829554204</v>
      </c>
      <c r="H16" s="34">
        <v>4968</v>
      </c>
      <c r="I16" s="34">
        <f>ROUND(Table13895845679910111213144562678910111213141516171819202134[[#This Row],[Target Quantity]],0)</f>
        <v>4864</v>
      </c>
      <c r="J16" s="38">
        <f t="shared" si="0"/>
        <v>-104</v>
      </c>
      <c r="K16" s="39">
        <f>'Oct 05'!$F16*'Oct 05'!$I16</f>
        <v>1332006.5958132048</v>
      </c>
      <c r="L16" s="40">
        <f>'Oct 05'!$K16/$K$2</f>
        <v>9.1168289512047907E-3</v>
      </c>
      <c r="M16" s="34"/>
    </row>
    <row r="17" spans="1:15" s="44" customFormat="1" ht="12.75" customHeight="1" x14ac:dyDescent="0.25">
      <c r="A17" s="34" t="s">
        <v>162</v>
      </c>
      <c r="B17" s="34" t="s">
        <v>43</v>
      </c>
      <c r="C17" s="34" t="s">
        <v>44</v>
      </c>
      <c r="D17" s="35">
        <v>9.4710000000000003E-3</v>
      </c>
      <c r="E17" s="36">
        <f>'Oct 05'!$D17*$C$6*$C$2</f>
        <v>1332023.1590729817</v>
      </c>
      <c r="F17" s="36">
        <v>1078</v>
      </c>
      <c r="G17" s="37">
        <f>'Oct 05'!$E17/'Oct 05'!$F17</f>
        <v>1235.64300470592</v>
      </c>
      <c r="H17" s="34">
        <v>1232</v>
      </c>
      <c r="I17" s="34">
        <f>ROUND(Table13895845679910111213144562678910111213141516171819202134[[#This Row],[Target Quantity]],0)</f>
        <v>1236</v>
      </c>
      <c r="J17" s="38">
        <f t="shared" si="0"/>
        <v>4</v>
      </c>
      <c r="K17" s="39">
        <f>'Oct 05'!$F17*'Oct 05'!$I17</f>
        <v>1332408</v>
      </c>
      <c r="L17" s="40">
        <f>'Oct 05'!$K17/$K$2</f>
        <v>9.1195763349811252E-3</v>
      </c>
      <c r="M17" s="34"/>
    </row>
    <row r="18" spans="1:15" s="44" customFormat="1" ht="12.75" customHeight="1" x14ac:dyDescent="0.25">
      <c r="A18" s="34" t="s">
        <v>162</v>
      </c>
      <c r="B18" s="34" t="s">
        <v>167</v>
      </c>
      <c r="C18" s="34" t="s">
        <v>168</v>
      </c>
      <c r="D18" s="35">
        <v>9.4710000000000003E-3</v>
      </c>
      <c r="E18" s="36">
        <f>'Oct 05'!$D18*$C$6*$C$2</f>
        <v>1332023.1590729817</v>
      </c>
      <c r="F18" s="36">
        <v>166.40004816955701</v>
      </c>
      <c r="G18" s="37">
        <f>'Oct 05'!$E18/'Oct 05'!$F18</f>
        <v>8004.9445521535381</v>
      </c>
      <c r="H18" s="34">
        <v>8304</v>
      </c>
      <c r="I18" s="34">
        <f>ROUND(Table13895845679910111213144562678910111213141516171819202134[[#This Row],[Target Quantity]],0)</f>
        <v>8005</v>
      </c>
      <c r="J18" s="38">
        <f t="shared" si="0"/>
        <v>-299</v>
      </c>
      <c r="K18" s="39">
        <f>'Oct 05'!$F18*'Oct 05'!$I18</f>
        <v>1332032.385597304</v>
      </c>
      <c r="L18" s="40">
        <f>'Oct 05'!$K18/$K$2</f>
        <v>9.1170054676357592E-3</v>
      </c>
      <c r="M18" s="34"/>
    </row>
    <row r="19" spans="1:15" s="44" customFormat="1" ht="12.75" customHeight="1" x14ac:dyDescent="0.25">
      <c r="A19" s="34" t="s">
        <v>162</v>
      </c>
      <c r="B19" s="34" t="s">
        <v>28</v>
      </c>
      <c r="C19" s="34" t="s">
        <v>29</v>
      </c>
      <c r="D19" s="35">
        <v>9.4710000000000003E-3</v>
      </c>
      <c r="E19" s="36">
        <f>'Oct 05'!$D19*$C$6*$C$2</f>
        <v>1332023.1590729817</v>
      </c>
      <c r="F19" s="36">
        <v>255.33008638118</v>
      </c>
      <c r="G19" s="37">
        <f>'Oct 05'!$E19/'Oct 05'!$F19</f>
        <v>5216.8672245088119</v>
      </c>
      <c r="H19" s="34">
        <v>5441</v>
      </c>
      <c r="I19" s="34">
        <f>ROUND(Table13895845679910111213144562678910111213141516171819202134[[#This Row],[Target Quantity]],0)</f>
        <v>5217</v>
      </c>
      <c r="J19" s="38">
        <f t="shared" si="0"/>
        <v>-224</v>
      </c>
      <c r="K19" s="39">
        <f>'Oct 05'!$F19*'Oct 05'!$I19</f>
        <v>1332057.060650616</v>
      </c>
      <c r="L19" s="40">
        <f>'Oct 05'!$K19/$K$2</f>
        <v>9.117174354367338E-3</v>
      </c>
      <c r="M19" s="34"/>
    </row>
    <row r="20" spans="1:15" s="44" customFormat="1" ht="12.75" customHeight="1" x14ac:dyDescent="0.25">
      <c r="A20" s="34" t="s">
        <v>162</v>
      </c>
      <c r="B20" s="34" t="s">
        <v>169</v>
      </c>
      <c r="C20" s="34" t="s">
        <v>170</v>
      </c>
      <c r="D20" s="35">
        <v>9.4710000000000003E-3</v>
      </c>
      <c r="E20" s="36">
        <f>'Oct 05'!$D20*$C$6*$C$2</f>
        <v>1332023.1590729817</v>
      </c>
      <c r="F20" s="36">
        <v>193.138055917717</v>
      </c>
      <c r="G20" s="37">
        <f>'Oct 05'!$E20/'Oct 05'!$F20</f>
        <v>6896.7410526305921</v>
      </c>
      <c r="H20" s="34">
        <v>6903</v>
      </c>
      <c r="I20" s="34">
        <f>ROUND(Table13895845679910111213144562678910111213141516171819202134[[#This Row],[Target Quantity]],0)</f>
        <v>6897</v>
      </c>
      <c r="J20" s="38">
        <f t="shared" si="0"/>
        <v>-6</v>
      </c>
      <c r="K20" s="39">
        <f>'Oct 05'!$F20*'Oct 05'!$I20</f>
        <v>1332073.1716644941</v>
      </c>
      <c r="L20" s="40">
        <f>'Oct 05'!$K20/$K$2</f>
        <v>9.1172846251109056E-3</v>
      </c>
      <c r="M20" s="34"/>
    </row>
    <row r="21" spans="1:15" s="44" customFormat="1" ht="12.75" customHeight="1" x14ac:dyDescent="0.25">
      <c r="A21" s="34" t="s">
        <v>162</v>
      </c>
      <c r="B21" s="34" t="s">
        <v>171</v>
      </c>
      <c r="C21" s="34" t="s">
        <v>172</v>
      </c>
      <c r="D21" s="35">
        <v>0</v>
      </c>
      <c r="E21" s="36">
        <f>'Oct 05'!$D21*$C$6*$C$2</f>
        <v>0</v>
      </c>
      <c r="F21" s="36">
        <v>210.299017384732</v>
      </c>
      <c r="G21" s="37">
        <f>'Oct 05'!$E21/'Oct 05'!$F21</f>
        <v>0</v>
      </c>
      <c r="H21" s="34">
        <v>6615</v>
      </c>
      <c r="I21" s="34">
        <f>ROUND(Table13895845679910111213144562678910111213141516171819202134[[#This Row],[Target Quantity]],0)</f>
        <v>0</v>
      </c>
      <c r="J21" s="38">
        <f t="shared" si="0"/>
        <v>-6615</v>
      </c>
      <c r="K21" s="39">
        <f>'Oct 05'!$F21*'Oct 05'!$I21</f>
        <v>0</v>
      </c>
      <c r="L21" s="40">
        <f>'Oct 05'!$K21/$K$2</f>
        <v>0</v>
      </c>
      <c r="M21" s="34"/>
    </row>
    <row r="22" spans="1:15" s="44" customFormat="1" ht="12.75" customHeight="1" x14ac:dyDescent="0.25">
      <c r="A22" s="34" t="s">
        <v>162</v>
      </c>
      <c r="B22" s="34" t="s">
        <v>173</v>
      </c>
      <c r="C22" s="34" t="s">
        <v>174</v>
      </c>
      <c r="D22" s="35">
        <v>9.4710000000000003E-3</v>
      </c>
      <c r="E22" s="36">
        <f>'Oct 05'!$D22*$C$6*$C$2</f>
        <v>1332023.1590729817</v>
      </c>
      <c r="F22" s="36">
        <v>82.900030129557095</v>
      </c>
      <c r="G22" s="37">
        <f>'Oct 05'!$E22/'Oct 05'!$F22</f>
        <v>16067.824788378013</v>
      </c>
      <c r="H22" s="34">
        <v>16595</v>
      </c>
      <c r="I22" s="34">
        <f>ROUND(Table13895845679910111213144562678910111213141516171819202134[[#This Row],[Target Quantity]],0)</f>
        <v>16068</v>
      </c>
      <c r="J22" s="38">
        <f t="shared" si="0"/>
        <v>-527</v>
      </c>
      <c r="K22" s="39">
        <f>'Oct 05'!$F22*'Oct 05'!$I22</f>
        <v>1332037.6841217233</v>
      </c>
      <c r="L22" s="40">
        <f>'Oct 05'!$K22/$K$2</f>
        <v>9.117041733027369E-3</v>
      </c>
      <c r="M22" s="34"/>
    </row>
    <row r="23" spans="1:15" s="44" customFormat="1" ht="12.75" customHeight="1" x14ac:dyDescent="0.25">
      <c r="A23" s="34" t="s">
        <v>162</v>
      </c>
      <c r="B23" s="34" t="s">
        <v>19</v>
      </c>
      <c r="C23" s="34" t="s">
        <v>20</v>
      </c>
      <c r="D23" s="35">
        <v>9.4710000000000003E-3</v>
      </c>
      <c r="E23" s="36">
        <f>'Oct 05'!$D23*$C$6*$C$2</f>
        <v>1332023.1590729817</v>
      </c>
      <c r="F23" s="36">
        <v>1254.8</v>
      </c>
      <c r="G23" s="37">
        <f>'Oct 05'!$E23/'Oct 05'!$F23</f>
        <v>1061.5422051904541</v>
      </c>
      <c r="H23" s="34">
        <v>0</v>
      </c>
      <c r="I23" s="34">
        <f>ROUND(Table13895845679910111213144562678910111213141516171819202134[[#This Row],[Target Quantity]],0)</f>
        <v>1062</v>
      </c>
      <c r="J23" s="38">
        <f t="shared" si="0"/>
        <v>1062</v>
      </c>
      <c r="K23" s="39">
        <f>'Oct 05'!$F23*'Oct 05'!$I23</f>
        <v>1332597.5999999999</v>
      </c>
      <c r="L23" s="40">
        <f>'Oct 05'!$K23/$K$2</f>
        <v>9.120874039342787E-3</v>
      </c>
      <c r="M23" s="34"/>
    </row>
    <row r="24" spans="1:15" s="44" customFormat="1" ht="12.75" customHeight="1" x14ac:dyDescent="0.25">
      <c r="A24" s="34"/>
      <c r="B24" s="34"/>
      <c r="C24" s="34"/>
      <c r="D24" s="35"/>
      <c r="E24" s="36"/>
      <c r="F24" s="36"/>
      <c r="G24" s="37"/>
      <c r="H24" s="34"/>
      <c r="I24" s="34"/>
      <c r="J24" s="45"/>
      <c r="K24" s="36"/>
      <c r="L24" s="46"/>
      <c r="M24" s="34"/>
    </row>
    <row r="25" spans="1:15" s="53" customFormat="1" ht="12.75" customHeight="1" x14ac:dyDescent="0.25">
      <c r="A25" s="47" t="s">
        <v>175</v>
      </c>
      <c r="B25" s="47"/>
      <c r="C25" s="47"/>
      <c r="D25" s="48">
        <f>SUM(D9:D24)</f>
        <v>0.13259400000000005</v>
      </c>
      <c r="E25" s="49">
        <f>'Oct 05'!$D25*$C$6*$C$2</f>
        <v>18648324.22702175</v>
      </c>
      <c r="F25" s="50"/>
      <c r="G25" s="50"/>
      <c r="H25" s="47"/>
      <c r="I25" s="47"/>
      <c r="J25" s="51"/>
      <c r="K25" s="49">
        <f>SUM(K9:K24)</f>
        <v>18647964.266840115</v>
      </c>
      <c r="L25" s="52">
        <f>'Oct 05'!$K25/$K$2</f>
        <v>0.12763472871931777</v>
      </c>
      <c r="M25" s="47"/>
    </row>
    <row r="26" spans="1:15" s="44" customFormat="1" ht="12.75" customHeight="1" x14ac:dyDescent="0.25">
      <c r="A26" s="34"/>
      <c r="B26" s="34"/>
      <c r="C26" s="34"/>
      <c r="D26" s="35"/>
      <c r="E26" s="36"/>
      <c r="F26" s="36"/>
      <c r="G26" s="37"/>
      <c r="H26" s="34"/>
      <c r="I26" s="34"/>
      <c r="J26" s="45"/>
      <c r="K26" s="36"/>
      <c r="L26" s="40"/>
      <c r="M26" s="34"/>
    </row>
    <row r="27" spans="1:15" s="43" customFormat="1" ht="12.75" customHeight="1" x14ac:dyDescent="0.25">
      <c r="A27" s="54"/>
      <c r="B27" s="47" t="s">
        <v>34</v>
      </c>
      <c r="C27" s="54" t="s">
        <v>35</v>
      </c>
      <c r="D27" s="55">
        <v>2.4556000000000001E-2</v>
      </c>
      <c r="E27" s="56">
        <f>'Oct 05'!$D27*$C$6*$C$2</f>
        <v>3453612.1522749597</v>
      </c>
      <c r="F27" s="50">
        <v>18.100000000000001</v>
      </c>
      <c r="G27" s="57">
        <f>'Oct 05'!$E27/'Oct 05'!$F27</f>
        <v>190807.30123066076</v>
      </c>
      <c r="H27" s="54">
        <v>202370</v>
      </c>
      <c r="I27" s="54">
        <v>190807</v>
      </c>
      <c r="J27" s="58">
        <f>I27-H27</f>
        <v>-11563</v>
      </c>
      <c r="K27" s="59">
        <f>'Oct 05'!$F27*'Oct 05'!$I27</f>
        <v>3453606.7</v>
      </c>
      <c r="L27" s="52">
        <f>'Oct 05'!$K27/$K$2</f>
        <v>2.3637977204919412E-2</v>
      </c>
      <c r="M27" s="47"/>
      <c r="O27" s="42"/>
    </row>
    <row r="28" spans="1:15" s="43" customFormat="1" ht="12.75" customHeight="1" x14ac:dyDescent="0.25">
      <c r="A28" s="34"/>
      <c r="B28" s="34"/>
      <c r="C28" s="34"/>
      <c r="D28" s="35"/>
      <c r="E28" s="36"/>
      <c r="F28" s="36"/>
      <c r="G28" s="37"/>
      <c r="H28" s="34"/>
      <c r="I28" s="34"/>
      <c r="J28" s="45"/>
      <c r="K28" s="39"/>
      <c r="L28" s="40"/>
      <c r="M28" s="34"/>
      <c r="O28" s="42"/>
    </row>
    <row r="29" spans="1:15" s="2" customFormat="1" ht="25.5" x14ac:dyDescent="0.2">
      <c r="A29" s="34" t="s">
        <v>176</v>
      </c>
      <c r="B29" s="60" t="s">
        <v>109</v>
      </c>
      <c r="C29" s="61" t="s">
        <v>110</v>
      </c>
      <c r="D29" s="35">
        <v>3.2412999999999997E-2</v>
      </c>
      <c r="E29" s="36">
        <f>'Oct 05'!$D29*$C$6*$C$2</f>
        <v>4558638.6500931848</v>
      </c>
      <c r="F29" s="36">
        <v>159396.36666666699</v>
      </c>
      <c r="G29" s="37">
        <f>'Oct 05'!$E29/'Oct 05'!$F29</f>
        <v>28.599388715216485</v>
      </c>
      <c r="H29" s="34">
        <v>30</v>
      </c>
      <c r="I29" s="34">
        <v>29</v>
      </c>
      <c r="J29" s="38">
        <f t="shared" ref="J29:J38" si="1">I29-H29</f>
        <v>-1</v>
      </c>
      <c r="K29" s="39">
        <f>'Oct 05'!$F29*'Oct 05'!$I29</f>
        <v>4622494.6333333431</v>
      </c>
      <c r="L29" s="40">
        <f>'Oct 05'!$K29/$K$2</f>
        <v>3.163835151599511E-2</v>
      </c>
      <c r="M29" s="62"/>
    </row>
    <row r="30" spans="1:15" s="2" customFormat="1" ht="25.5" x14ac:dyDescent="0.2">
      <c r="A30" s="34" t="s">
        <v>176</v>
      </c>
      <c r="B30" s="60" t="s">
        <v>115</v>
      </c>
      <c r="C30" s="61" t="s">
        <v>116</v>
      </c>
      <c r="D30" s="35">
        <v>3.2412999999999997E-2</v>
      </c>
      <c r="E30" s="36">
        <f>'Oct 05'!$D30*$C$6*$C$2</f>
        <v>4558638.6500931848</v>
      </c>
      <c r="F30" s="36">
        <v>219075</v>
      </c>
      <c r="G30" s="37">
        <f>'Oct 05'!$E30/'Oct 05'!$F30</f>
        <v>20.808575374155811</v>
      </c>
      <c r="H30" s="34">
        <v>22</v>
      </c>
      <c r="I30" s="34">
        <v>21</v>
      </c>
      <c r="J30" s="38">
        <f t="shared" si="1"/>
        <v>-1</v>
      </c>
      <c r="K30" s="39">
        <f>'Oct 05'!$F30*'Oct 05'!$I30</f>
        <v>4600575</v>
      </c>
      <c r="L30" s="40">
        <f>'Oct 05'!$K30/$K$2</f>
        <v>3.1488324069883847E-2</v>
      </c>
      <c r="M30" s="62"/>
    </row>
    <row r="31" spans="1:15" s="2" customFormat="1" ht="25.5" x14ac:dyDescent="0.2">
      <c r="A31" s="34" t="s">
        <v>176</v>
      </c>
      <c r="B31" s="60" t="s">
        <v>121</v>
      </c>
      <c r="C31" s="61" t="s">
        <v>122</v>
      </c>
      <c r="D31" s="35">
        <v>3.2412999999999997E-2</v>
      </c>
      <c r="E31" s="36">
        <f>'Oct 05'!$D31*$C$6*$C$2</f>
        <v>4558638.6500931848</v>
      </c>
      <c r="F31" s="36">
        <v>175199.57142857101</v>
      </c>
      <c r="G31" s="37">
        <f>'Oct 05'!$E31/'Oct 05'!$F31</f>
        <v>26.019690647198559</v>
      </c>
      <c r="H31" s="34">
        <v>28</v>
      </c>
      <c r="I31" s="34">
        <v>26</v>
      </c>
      <c r="J31" s="38">
        <f t="shared" si="1"/>
        <v>-2</v>
      </c>
      <c r="K31" s="39">
        <f>'Oct 05'!$F31*'Oct 05'!$I31</f>
        <v>4555188.8571428461</v>
      </c>
      <c r="L31" s="40">
        <f>'Oct 05'!$K31/$K$2</f>
        <v>3.1177681688318908E-2</v>
      </c>
      <c r="M31" s="62"/>
    </row>
    <row r="32" spans="1:15" s="2" customFormat="1" ht="25.5" x14ac:dyDescent="0.2">
      <c r="A32" s="34" t="s">
        <v>176</v>
      </c>
      <c r="B32" s="60" t="s">
        <v>124</v>
      </c>
      <c r="C32" s="61" t="s">
        <v>125</v>
      </c>
      <c r="D32" s="35">
        <v>3.2412999999999997E-2</v>
      </c>
      <c r="E32" s="36">
        <f>'Oct 05'!$D32*$C$6*$C$2</f>
        <v>4558638.6500931848</v>
      </c>
      <c r="F32" s="36">
        <v>125948.33333333299</v>
      </c>
      <c r="G32" s="37">
        <f>'Oct 05'!$E32/'Oct 05'!$F32</f>
        <v>36.194513491721715</v>
      </c>
      <c r="H32" s="34">
        <v>39</v>
      </c>
      <c r="I32" s="34">
        <v>36</v>
      </c>
      <c r="J32" s="38">
        <f t="shared" si="1"/>
        <v>-3</v>
      </c>
      <c r="K32" s="39">
        <f>'Oct 05'!$F32*'Oct 05'!$I32</f>
        <v>4534139.9999999879</v>
      </c>
      <c r="L32" s="40">
        <f>'Oct 05'!$K32/$K$2</f>
        <v>3.1033614210880758E-2</v>
      </c>
      <c r="M32" s="62"/>
    </row>
    <row r="33" spans="1:15" s="2" customFormat="1" ht="25.5" x14ac:dyDescent="0.2">
      <c r="A33" s="34" t="s">
        <v>176</v>
      </c>
      <c r="B33" s="60" t="s">
        <v>127</v>
      </c>
      <c r="C33" s="61" t="s">
        <v>128</v>
      </c>
      <c r="D33" s="35">
        <v>3.2412999999999997E-2</v>
      </c>
      <c r="E33" s="36">
        <f>'Oct 05'!$D33*$C$6*$C$2</f>
        <v>4558638.6500931848</v>
      </c>
      <c r="F33" s="36">
        <v>139328.11428571399</v>
      </c>
      <c r="G33" s="37">
        <f>'Oct 05'!$E33/'Oct 05'!$F33</f>
        <v>32.718727827931311</v>
      </c>
      <c r="H33" s="34">
        <v>35</v>
      </c>
      <c r="I33" s="34">
        <v>33</v>
      </c>
      <c r="J33" s="38">
        <f t="shared" si="1"/>
        <v>-2</v>
      </c>
      <c r="K33" s="39">
        <f>'Oct 05'!$F33*'Oct 05'!$I33</f>
        <v>4597827.7714285618</v>
      </c>
      <c r="L33" s="40">
        <f>'Oct 05'!$K33/$K$2</f>
        <v>3.1469520849949056E-2</v>
      </c>
      <c r="M33" s="62"/>
    </row>
    <row r="34" spans="1:15" s="2" customFormat="1" ht="25.5" x14ac:dyDescent="0.2">
      <c r="A34" s="34" t="s">
        <v>176</v>
      </c>
      <c r="B34" s="60" t="s">
        <v>135</v>
      </c>
      <c r="C34" s="61" t="s">
        <v>136</v>
      </c>
      <c r="D34" s="35">
        <v>3.2412999999999997E-2</v>
      </c>
      <c r="E34" s="36">
        <f>'Oct 05'!$D34*$C$6*$C$2</f>
        <v>4558638.6500931848</v>
      </c>
      <c r="F34" s="36">
        <v>220924.818181818</v>
      </c>
      <c r="G34" s="37">
        <f>'Oct 05'!$E34/'Oct 05'!$F34</f>
        <v>20.634343789938029</v>
      </c>
      <c r="H34" s="34">
        <v>22</v>
      </c>
      <c r="I34" s="34">
        <v>21</v>
      </c>
      <c r="J34" s="38">
        <f t="shared" si="1"/>
        <v>-1</v>
      </c>
      <c r="K34" s="39">
        <f>'Oct 05'!$F34*'Oct 05'!$I34</f>
        <v>4639421.1818181779</v>
      </c>
      <c r="L34" s="40">
        <f>'Oct 05'!$K34/$K$2</f>
        <v>3.1754204130956303E-2</v>
      </c>
      <c r="M34" s="62"/>
    </row>
    <row r="35" spans="1:15" s="43" customFormat="1" ht="25.5" customHeight="1" x14ac:dyDescent="0.25">
      <c r="A35" s="34" t="s">
        <v>177</v>
      </c>
      <c r="B35" s="34" t="s">
        <v>178</v>
      </c>
      <c r="C35" s="34" t="s">
        <v>179</v>
      </c>
      <c r="D35" s="35">
        <v>3.2412999999999997E-2</v>
      </c>
      <c r="E35" s="36">
        <f>'Oct 05'!$D35*$C$6*$C$2</f>
        <v>4558638.6500931848</v>
      </c>
      <c r="F35" s="36">
        <v>96161.607843137303</v>
      </c>
      <c r="G35" s="37">
        <f>'Oct 05'!$E35/'Oct 05'!$F35</f>
        <v>47.406015273053882</v>
      </c>
      <c r="H35" s="34">
        <v>51</v>
      </c>
      <c r="I35" s="34">
        <v>47</v>
      </c>
      <c r="J35" s="38">
        <f t="shared" si="1"/>
        <v>-4</v>
      </c>
      <c r="K35" s="39">
        <f>'Oct 05'!$F35*'Oct 05'!$I35</f>
        <v>4519595.5686274534</v>
      </c>
      <c r="L35" s="40">
        <f>'Oct 05'!$K35/$K$2</f>
        <v>3.0934065835194993E-2</v>
      </c>
      <c r="M35" s="41"/>
      <c r="O35" s="42"/>
    </row>
    <row r="36" spans="1:15" s="43" customFormat="1" ht="25.5" customHeight="1" x14ac:dyDescent="0.25">
      <c r="A36" s="34" t="s">
        <v>177</v>
      </c>
      <c r="B36" s="34" t="s">
        <v>76</v>
      </c>
      <c r="C36" s="34" t="s">
        <v>77</v>
      </c>
      <c r="D36" s="35">
        <v>3.2412999999999997E-2</v>
      </c>
      <c r="E36" s="36">
        <f>'Oct 05'!$D36*$C$6*$C$2</f>
        <v>4558638.6500931848</v>
      </c>
      <c r="F36" s="36">
        <v>114361.860465116</v>
      </c>
      <c r="G36" s="37">
        <f>'Oct 05'!$E36/'Oct 05'!$F36</f>
        <v>39.861529285663508</v>
      </c>
      <c r="H36" s="34">
        <v>43</v>
      </c>
      <c r="I36" s="34">
        <v>40</v>
      </c>
      <c r="J36" s="38">
        <f t="shared" si="1"/>
        <v>-3</v>
      </c>
      <c r="K36" s="39">
        <f>'Oct 05'!$F36*'Oct 05'!$I36</f>
        <v>4574474.4186046403</v>
      </c>
      <c r="L36" s="40">
        <f>'Oct 05'!$K36/$K$2</f>
        <v>3.1309680407865623E-2</v>
      </c>
      <c r="M36" s="41"/>
    </row>
    <row r="37" spans="1:15" s="43" customFormat="1" ht="25.5" customHeight="1" x14ac:dyDescent="0.25">
      <c r="A37" s="34" t="s">
        <v>177</v>
      </c>
      <c r="B37" s="34" t="s">
        <v>180</v>
      </c>
      <c r="C37" s="34" t="s">
        <v>181</v>
      </c>
      <c r="D37" s="35">
        <v>3.2412999999999997E-2</v>
      </c>
      <c r="E37" s="36">
        <f>'Oct 05'!$D37*$C$6*$C$2</f>
        <v>4558638.6500931848</v>
      </c>
      <c r="F37" s="36">
        <v>113777.976744186</v>
      </c>
      <c r="G37" s="37">
        <f>'Oct 05'!$E37/'Oct 05'!$F37</f>
        <v>40.066089945883391</v>
      </c>
      <c r="H37" s="34">
        <v>43</v>
      </c>
      <c r="I37" s="34">
        <v>40</v>
      </c>
      <c r="J37" s="38">
        <f t="shared" si="1"/>
        <v>-3</v>
      </c>
      <c r="K37" s="39">
        <f>'Oct 05'!$F37*'Oct 05'!$I37</f>
        <v>4551119.0697674397</v>
      </c>
      <c r="L37" s="40">
        <f>'Oct 05'!$K37/$K$2</f>
        <v>3.1149826304204462E-2</v>
      </c>
      <c r="M37" s="41"/>
    </row>
    <row r="38" spans="1:15" s="43" customFormat="1" ht="25.5" x14ac:dyDescent="0.25">
      <c r="A38" s="34" t="s">
        <v>177</v>
      </c>
      <c r="B38" s="34" t="s">
        <v>71</v>
      </c>
      <c r="C38" s="34" t="s">
        <v>72</v>
      </c>
      <c r="D38" s="35">
        <v>3.2412999999999997E-2</v>
      </c>
      <c r="E38" s="36">
        <f>'Oct 05'!$D38*$C$6*$C$2</f>
        <v>4558638.6500931848</v>
      </c>
      <c r="F38" s="36">
        <v>133230.78378378399</v>
      </c>
      <c r="G38" s="37">
        <f>'Oct 05'!$E38/'Oct 05'!$F38</f>
        <v>34.216106222802495</v>
      </c>
      <c r="H38" s="34">
        <v>37</v>
      </c>
      <c r="I38" s="34">
        <v>34</v>
      </c>
      <c r="J38" s="38">
        <f t="shared" si="1"/>
        <v>-3</v>
      </c>
      <c r="K38" s="39">
        <f>'Oct 05'!$F38*'Oct 05'!$I38</f>
        <v>4529846.648648656</v>
      </c>
      <c r="L38" s="40">
        <f>'Oct 05'!$K38/$K$2</f>
        <v>3.1004228658271224E-2</v>
      </c>
      <c r="M38" s="41"/>
    </row>
    <row r="39" spans="1:15" s="64" customFormat="1" ht="12.75" x14ac:dyDescent="0.2">
      <c r="A39" s="34"/>
      <c r="B39" s="61"/>
      <c r="C39" s="61"/>
      <c r="D39" s="35"/>
      <c r="E39" s="63"/>
      <c r="F39" s="36"/>
      <c r="G39" s="37"/>
      <c r="H39" s="34"/>
      <c r="I39" s="34"/>
      <c r="J39" s="45"/>
      <c r="K39" s="36"/>
      <c r="L39" s="46"/>
      <c r="M39" s="62"/>
    </row>
    <row r="40" spans="1:15" s="15" customFormat="1" ht="12.75" x14ac:dyDescent="0.2">
      <c r="A40" s="47" t="s">
        <v>182</v>
      </c>
      <c r="B40" s="65"/>
      <c r="C40" s="65"/>
      <c r="D40" s="55">
        <f>SUBTOTAL(9,D29:D39)</f>
        <v>0.32413000000000003</v>
      </c>
      <c r="E40" s="66">
        <f>'Oct 05'!$D40*$C$6*$C$2</f>
        <v>45586386.500931852</v>
      </c>
      <c r="F40" s="67"/>
      <c r="G40" s="68"/>
      <c r="H40" s="54"/>
      <c r="I40" s="54"/>
      <c r="J40" s="58"/>
      <c r="K40" s="66">
        <f>SUM(K29:K39)</f>
        <v>45724683.14937111</v>
      </c>
      <c r="L40" s="69">
        <f>'Oct 05'!$K40/$K$2</f>
        <v>0.31295949767152031</v>
      </c>
      <c r="M40" s="70"/>
    </row>
    <row r="41" spans="1:15" s="64" customFormat="1" ht="12.75" x14ac:dyDescent="0.2">
      <c r="A41" s="34"/>
      <c r="B41" s="61"/>
      <c r="C41" s="61"/>
      <c r="D41" s="35"/>
      <c r="E41" s="63"/>
      <c r="F41" s="36"/>
      <c r="G41" s="37"/>
      <c r="H41" s="34"/>
      <c r="I41" s="34"/>
      <c r="J41" s="45"/>
      <c r="K41" s="36"/>
      <c r="L41" s="40"/>
      <c r="M41" s="62"/>
    </row>
    <row r="42" spans="1:15" s="2" customFormat="1" ht="24.75" customHeight="1" x14ac:dyDescent="0.2">
      <c r="A42" s="34" t="s">
        <v>176</v>
      </c>
      <c r="B42" s="61" t="s">
        <v>183</v>
      </c>
      <c r="C42" s="61" t="s">
        <v>131</v>
      </c>
      <c r="D42" s="35">
        <v>7.1429000000000006E-2</v>
      </c>
      <c r="E42" s="36">
        <f>'Oct 05'!$D42*$C$6*$C$2</f>
        <v>10045938.362308523</v>
      </c>
      <c r="F42" s="36">
        <v>416346.23076923098</v>
      </c>
      <c r="G42" s="37">
        <f>'Oct 05'!$E42/'Oct 05'!$F42</f>
        <v>24.128808236711777</v>
      </c>
      <c r="H42" s="34">
        <v>26</v>
      </c>
      <c r="I42" s="34">
        <v>26</v>
      </c>
      <c r="J42" s="38">
        <f t="shared" ref="J42:J48" si="2">I42-H42</f>
        <v>0</v>
      </c>
      <c r="K42" s="39">
        <f>'Oct 05'!$F42*'Oct 05'!$I42</f>
        <v>10825002.000000006</v>
      </c>
      <c r="L42" s="40">
        <f>'Oct 05'!$K42/$K$2</f>
        <v>7.4090993198272156E-2</v>
      </c>
      <c r="M42" s="62"/>
    </row>
    <row r="43" spans="1:15" s="43" customFormat="1" ht="25.5" x14ac:dyDescent="0.25">
      <c r="A43" s="34" t="s">
        <v>177</v>
      </c>
      <c r="B43" s="34" t="s">
        <v>82</v>
      </c>
      <c r="C43" s="34" t="s">
        <v>83</v>
      </c>
      <c r="D43" s="35">
        <v>7.1429000000000006E-2</v>
      </c>
      <c r="E43" s="36">
        <f>'Oct 05'!$D43*$C$6*$C$2</f>
        <v>10045938.362308523</v>
      </c>
      <c r="F43" s="36">
        <v>249387.48837209301</v>
      </c>
      <c r="G43" s="37">
        <f>'Oct 05'!$E43/'Oct 05'!$F43</f>
        <v>40.282447318767275</v>
      </c>
      <c r="H43" s="34">
        <v>43</v>
      </c>
      <c r="I43" s="34">
        <v>43</v>
      </c>
      <c r="J43" s="38">
        <f t="shared" si="2"/>
        <v>0</v>
      </c>
      <c r="K43" s="39">
        <f>'Oct 05'!$F43*'Oct 05'!$I43</f>
        <v>10723662</v>
      </c>
      <c r="L43" s="40">
        <f>'Oct 05'!$K43/$K$2</f>
        <v>7.3397378430282892E-2</v>
      </c>
      <c r="M43" s="41"/>
    </row>
    <row r="44" spans="1:15" s="43" customFormat="1" ht="25.5" x14ac:dyDescent="0.25">
      <c r="A44" s="34" t="s">
        <v>177</v>
      </c>
      <c r="B44" s="34" t="s">
        <v>184</v>
      </c>
      <c r="C44" s="34" t="s">
        <v>105</v>
      </c>
      <c r="D44" s="35">
        <v>7.1429000000000006E-2</v>
      </c>
      <c r="E44" s="36">
        <f>'Oct 05'!$D44*$C$6*$C$2</f>
        <v>10045938.362308523</v>
      </c>
      <c r="F44" s="36">
        <v>416384.30769230798</v>
      </c>
      <c r="G44" s="37">
        <f>'Oct 05'!$E44/'Oct 05'!$F44</f>
        <v>24.126601739593138</v>
      </c>
      <c r="H44" s="34">
        <v>26</v>
      </c>
      <c r="I44" s="34">
        <v>26</v>
      </c>
      <c r="J44" s="38">
        <f t="shared" si="2"/>
        <v>0</v>
      </c>
      <c r="K44" s="39">
        <f>'Oct 05'!$F44*'Oct 05'!$I44</f>
        <v>10825992.000000007</v>
      </c>
      <c r="L44" s="40">
        <f>'Oct 05'!$K44/$K$2</f>
        <v>7.4097769186236534E-2</v>
      </c>
      <c r="M44" s="41"/>
    </row>
    <row r="45" spans="1:15" s="43" customFormat="1" ht="25.5" x14ac:dyDescent="0.25">
      <c r="A45" s="34" t="s">
        <v>177</v>
      </c>
      <c r="B45" s="34" t="s">
        <v>107</v>
      </c>
      <c r="C45" s="34" t="s">
        <v>108</v>
      </c>
      <c r="D45" s="35">
        <v>7.1429000000000006E-2</v>
      </c>
      <c r="E45" s="36">
        <f>'Oct 05'!$D45*$C$6*$C$2</f>
        <v>10045938.362308523</v>
      </c>
      <c r="F45" s="36">
        <v>249825.06976744201</v>
      </c>
      <c r="G45" s="37">
        <f>'Oct 05'!$E45/'Oct 05'!$F45</f>
        <v>40.211890550696609</v>
      </c>
      <c r="H45" s="34">
        <v>43</v>
      </c>
      <c r="I45" s="34">
        <v>43</v>
      </c>
      <c r="J45" s="38">
        <f t="shared" si="2"/>
        <v>0</v>
      </c>
      <c r="K45" s="39">
        <f>'Oct 05'!$F45*'Oct 05'!$I45</f>
        <v>10742478.000000006</v>
      </c>
      <c r="L45" s="40">
        <f>'Oct 05'!$K45/$K$2</f>
        <v>7.3526163268199704E-2</v>
      </c>
      <c r="M45" s="41"/>
    </row>
    <row r="46" spans="1:15" s="43" customFormat="1" ht="25.5" x14ac:dyDescent="0.25">
      <c r="A46" s="34" t="s">
        <v>177</v>
      </c>
      <c r="B46" s="34" t="s">
        <v>185</v>
      </c>
      <c r="C46" s="34" t="s">
        <v>86</v>
      </c>
      <c r="D46" s="35">
        <v>7.1429000000000006E-2</v>
      </c>
      <c r="E46" s="36">
        <f>'Oct 05'!$D46*$C$6*$C$2</f>
        <v>10045938.362308523</v>
      </c>
      <c r="F46" s="36">
        <v>161881.641791045</v>
      </c>
      <c r="G46" s="37">
        <f>'Oct 05'!$E46/'Oct 05'!$F46</f>
        <v>62.05730465271477</v>
      </c>
      <c r="H46" s="34">
        <v>67</v>
      </c>
      <c r="I46" s="34">
        <v>67</v>
      </c>
      <c r="J46" s="38">
        <f t="shared" si="2"/>
        <v>0</v>
      </c>
      <c r="K46" s="39">
        <f>'Oct 05'!$F46*'Oct 05'!$I46</f>
        <v>10846070.000000015</v>
      </c>
      <c r="L46" s="40">
        <f>'Oct 05'!$K46/$K$2</f>
        <v>7.4235191697699862E-2</v>
      </c>
      <c r="M46" s="41"/>
    </row>
    <row r="47" spans="1:15" s="43" customFormat="1" ht="25.5" x14ac:dyDescent="0.25">
      <c r="A47" s="34" t="s">
        <v>177</v>
      </c>
      <c r="B47" s="34" t="s">
        <v>186</v>
      </c>
      <c r="C47" s="34" t="s">
        <v>187</v>
      </c>
      <c r="D47" s="35">
        <v>7.1429000000000006E-2</v>
      </c>
      <c r="E47" s="36">
        <f>'Oct 05'!$D47*$C$6*$C$2</f>
        <v>10045938.362308523</v>
      </c>
      <c r="F47" s="36">
        <v>176784.75409836101</v>
      </c>
      <c r="G47" s="37">
        <f>'Oct 05'!$E47/'Oct 05'!$F47</f>
        <v>56.82581856984725</v>
      </c>
      <c r="H47" s="34">
        <v>61</v>
      </c>
      <c r="I47" s="34">
        <v>61</v>
      </c>
      <c r="J47" s="38">
        <f t="shared" si="2"/>
        <v>0</v>
      </c>
      <c r="K47" s="39">
        <f>'Oct 05'!$F47*'Oct 05'!$I47</f>
        <v>10783870.000000022</v>
      </c>
      <c r="L47" s="40">
        <f>'Oct 05'!$K47/$K$2</f>
        <v>7.3809468009433388E-2</v>
      </c>
      <c r="M47" s="41"/>
    </row>
    <row r="48" spans="1:15" s="43" customFormat="1" ht="25.5" x14ac:dyDescent="0.25">
      <c r="A48" s="34" t="s">
        <v>177</v>
      </c>
      <c r="B48" s="34" t="s">
        <v>188</v>
      </c>
      <c r="C48" s="34" t="s">
        <v>189</v>
      </c>
      <c r="D48" s="35">
        <v>7.1429000000000006E-2</v>
      </c>
      <c r="E48" s="36">
        <f>'Oct 05'!$D48*$C$6*$C$2</f>
        <v>10045938.362308523</v>
      </c>
      <c r="F48" s="36">
        <v>717602.933333333</v>
      </c>
      <c r="G48" s="37">
        <f>'Oct 05'!$E48/'Oct 05'!$F48</f>
        <v>13.999299467247431</v>
      </c>
      <c r="H48" s="34">
        <v>15</v>
      </c>
      <c r="I48" s="34">
        <v>15</v>
      </c>
      <c r="J48" s="38">
        <f t="shared" si="2"/>
        <v>0</v>
      </c>
      <c r="K48" s="39">
        <f>'Oct 05'!$F48*'Oct 05'!$I48</f>
        <v>10764043.999999994</v>
      </c>
      <c r="L48" s="40">
        <f>'Oct 05'!$K48/$K$2</f>
        <v>7.3673770294906307E-2</v>
      </c>
      <c r="M48" s="41"/>
    </row>
    <row r="49" spans="1:16" s="44" customFormat="1" ht="12.75" x14ac:dyDescent="0.25">
      <c r="A49" s="34"/>
      <c r="B49" s="34"/>
      <c r="C49" s="34"/>
      <c r="D49" s="35"/>
      <c r="E49" s="36"/>
      <c r="F49" s="36"/>
      <c r="G49" s="37"/>
      <c r="H49" s="34"/>
      <c r="I49" s="34"/>
      <c r="J49" s="45"/>
      <c r="K49" s="36"/>
      <c r="L49" s="40"/>
      <c r="M49" s="34"/>
    </row>
    <row r="50" spans="1:16" s="53" customFormat="1" ht="25.5" x14ac:dyDescent="0.25">
      <c r="A50" s="47" t="s">
        <v>190</v>
      </c>
      <c r="B50" s="47"/>
      <c r="C50" s="47"/>
      <c r="D50" s="55">
        <f>SUBTOTAL(9,D42:D49)</f>
        <v>0.50000300000000009</v>
      </c>
      <c r="E50" s="49">
        <f>'Oct 05'!$D50*$C$6*$C$2</f>
        <v>70321568.536159664</v>
      </c>
      <c r="F50" s="68"/>
      <c r="G50" s="68"/>
      <c r="H50" s="54"/>
      <c r="I50" s="54"/>
      <c r="J50" s="58"/>
      <c r="K50" s="49">
        <f>SUM(K42:K49)</f>
        <v>75511118.00000006</v>
      </c>
      <c r="L50" s="71">
        <f>'Oct 05'!$K50/$K$2</f>
        <v>0.51683073408503089</v>
      </c>
      <c r="M50" s="47"/>
    </row>
    <row r="51" spans="1:16" s="44" customFormat="1" ht="12.75" x14ac:dyDescent="0.25">
      <c r="A51" s="34"/>
      <c r="B51" s="34"/>
      <c r="C51" s="34"/>
      <c r="D51" s="35"/>
      <c r="E51" s="36"/>
      <c r="F51" s="36"/>
      <c r="G51" s="37"/>
      <c r="H51" s="34"/>
      <c r="I51" s="34"/>
      <c r="J51" s="45"/>
      <c r="K51" s="36"/>
      <c r="L51" s="40"/>
      <c r="M51" s="34"/>
    </row>
    <row r="52" spans="1:16" s="43" customFormat="1" ht="12.75" x14ac:dyDescent="0.25">
      <c r="A52" s="34"/>
      <c r="B52" s="34"/>
      <c r="C52" s="34"/>
      <c r="D52" s="35"/>
      <c r="E52" s="36"/>
      <c r="F52" s="36"/>
      <c r="G52" s="72"/>
      <c r="H52" s="34"/>
      <c r="I52" s="34"/>
      <c r="J52" s="38"/>
      <c r="K52" s="39"/>
      <c r="L52" s="40"/>
      <c r="M52" s="41"/>
    </row>
    <row r="53" spans="1:16" s="43" customFormat="1" ht="25.5" x14ac:dyDescent="0.25">
      <c r="A53" s="34" t="s">
        <v>191</v>
      </c>
      <c r="B53" s="34" t="s">
        <v>192</v>
      </c>
      <c r="C53" s="34" t="s">
        <v>64</v>
      </c>
      <c r="D53" s="35">
        <v>9.8200000000000002E-4</v>
      </c>
      <c r="E53" s="36">
        <f>'Oct 05'!$D53*$C$6*$C$2</f>
        <v>138110.7319406259</v>
      </c>
      <c r="F53" s="36">
        <v>43609.8</v>
      </c>
      <c r="G53" s="72">
        <f>'Oct 05'!$E53/'Oct 05'!$F53</f>
        <v>3.1669654972191088</v>
      </c>
      <c r="H53" s="34">
        <v>5</v>
      </c>
      <c r="I53" s="34">
        <v>3</v>
      </c>
      <c r="J53" s="38">
        <f t="shared" ref="J53:J62" si="3">I53-H53</f>
        <v>-2</v>
      </c>
      <c r="K53" s="39">
        <f>'Oct 05'!$F53*'Oct 05'!$I53</f>
        <v>130829.40000000001</v>
      </c>
      <c r="L53" s="40">
        <f>'Oct 05'!$K53/$K$2</f>
        <v>8.9545296948065442E-4</v>
      </c>
      <c r="M53" s="41"/>
    </row>
    <row r="54" spans="1:16" s="43" customFormat="1" ht="25.5" x14ac:dyDescent="0.25">
      <c r="A54" s="34" t="s">
        <v>191</v>
      </c>
      <c r="B54" s="34" t="s">
        <v>193</v>
      </c>
      <c r="C54" s="34" t="s">
        <v>74</v>
      </c>
      <c r="D54" s="35">
        <v>9.8200000000000002E-4</v>
      </c>
      <c r="E54" s="36">
        <f>'Oct 05'!$D54*$C$6*$C$2</f>
        <v>138110.7319406259</v>
      </c>
      <c r="F54" s="36">
        <v>163457</v>
      </c>
      <c r="G54" s="72">
        <f>'Oct 05'!$E54/'Oct 05'!$F54</f>
        <v>0.84493617245285246</v>
      </c>
      <c r="H54" s="34">
        <v>1</v>
      </c>
      <c r="I54" s="34">
        <v>1</v>
      </c>
      <c r="J54" s="38">
        <f t="shared" si="3"/>
        <v>0</v>
      </c>
      <c r="K54" s="39">
        <f>'Oct 05'!$F54*'Oct 05'!$I54</f>
        <v>163457</v>
      </c>
      <c r="L54" s="40">
        <f>'Oct 05'!$K54/$K$2</f>
        <v>1.1187703683759103E-3</v>
      </c>
      <c r="M54" s="41"/>
      <c r="P54" s="43" t="s">
        <v>194</v>
      </c>
    </row>
    <row r="55" spans="1:16" s="43" customFormat="1" ht="25.5" x14ac:dyDescent="0.25">
      <c r="A55" s="34" t="s">
        <v>191</v>
      </c>
      <c r="B55" s="34" t="s">
        <v>195</v>
      </c>
      <c r="C55" s="34" t="s">
        <v>93</v>
      </c>
      <c r="D55" s="35">
        <v>9.8200000000000002E-4</v>
      </c>
      <c r="E55" s="36">
        <f>'Oct 05'!$D55*$C$6*$C$2</f>
        <v>138110.7319406259</v>
      </c>
      <c r="F55" s="36">
        <v>86396.666666666701</v>
      </c>
      <c r="G55" s="72">
        <f>'Oct 05'!$E55/'Oct 05'!$F55</f>
        <v>1.5985655149576663</v>
      </c>
      <c r="H55" s="34">
        <v>3</v>
      </c>
      <c r="I55" s="34">
        <v>2</v>
      </c>
      <c r="J55" s="38">
        <f t="shared" si="3"/>
        <v>-1</v>
      </c>
      <c r="K55" s="39">
        <f>'Oct 05'!$F55*'Oct 05'!$I55</f>
        <v>172793.3333333334</v>
      </c>
      <c r="L55" s="40">
        <f>'Oct 05'!$K55/$K$2</f>
        <v>1.1826722696870423E-3</v>
      </c>
      <c r="M55" s="41"/>
    </row>
    <row r="56" spans="1:16" s="43" customFormat="1" ht="25.5" x14ac:dyDescent="0.25">
      <c r="A56" s="34" t="s">
        <v>191</v>
      </c>
      <c r="B56" s="34" t="s">
        <v>94</v>
      </c>
      <c r="C56" s="34" t="s">
        <v>95</v>
      </c>
      <c r="D56" s="35">
        <v>9.8200000000000002E-4</v>
      </c>
      <c r="E56" s="36">
        <f>'Oct 05'!$D56*$C$6*$C$2</f>
        <v>138110.7319406259</v>
      </c>
      <c r="F56" s="36">
        <v>232436</v>
      </c>
      <c r="G56" s="72">
        <f>'Oct 05'!$E56/'Oct 05'!$F56</f>
        <v>0.59418821499520691</v>
      </c>
      <c r="H56" s="34">
        <v>1</v>
      </c>
      <c r="I56" s="34">
        <v>1</v>
      </c>
      <c r="J56" s="38">
        <f t="shared" si="3"/>
        <v>0</v>
      </c>
      <c r="K56" s="39">
        <f>'Oct 05'!$F56*'Oct 05'!$I56</f>
        <v>232436</v>
      </c>
      <c r="L56" s="40">
        <f>'Oct 05'!$K56/$K$2</f>
        <v>1.5908924631176584E-3</v>
      </c>
      <c r="M56" s="41"/>
    </row>
    <row r="57" spans="1:16" s="43" customFormat="1" ht="25.5" x14ac:dyDescent="0.25">
      <c r="A57" s="34" t="s">
        <v>191</v>
      </c>
      <c r="B57" s="34" t="s">
        <v>196</v>
      </c>
      <c r="C57" s="34" t="s">
        <v>197</v>
      </c>
      <c r="D57" s="35">
        <v>9.8200000000000002E-4</v>
      </c>
      <c r="E57" s="36">
        <f>'Oct 05'!$D57*$C$6*$C$2</f>
        <v>138110.7319406259</v>
      </c>
      <c r="F57" s="36">
        <v>43598.2</v>
      </c>
      <c r="G57" s="72">
        <f>'Oct 05'!$E57/'Oct 05'!$F57</f>
        <v>3.1678081191568896</v>
      </c>
      <c r="H57" s="34">
        <v>5</v>
      </c>
      <c r="I57" s="34">
        <v>3</v>
      </c>
      <c r="J57" s="38">
        <f t="shared" si="3"/>
        <v>-2</v>
      </c>
      <c r="K57" s="39">
        <f>'Oct 05'!$F57*'Oct 05'!$I57</f>
        <v>130794.59999999999</v>
      </c>
      <c r="L57" s="40">
        <f>'Oct 05'!$K57/$K$2</f>
        <v>8.9521478323705819E-4</v>
      </c>
      <c r="M57" s="41"/>
    </row>
    <row r="58" spans="1:16" s="43" customFormat="1" ht="25.5" x14ac:dyDescent="0.25">
      <c r="A58" s="34" t="s">
        <v>191</v>
      </c>
      <c r="B58" s="34" t="s">
        <v>198</v>
      </c>
      <c r="C58" s="34" t="s">
        <v>199</v>
      </c>
      <c r="D58" s="35">
        <v>9.8200000000000002E-4</v>
      </c>
      <c r="E58" s="36">
        <f>'Oct 05'!$D58*$C$6*$C$2</f>
        <v>138110.7319406259</v>
      </c>
      <c r="F58" s="36">
        <v>44356</v>
      </c>
      <c r="G58" s="72">
        <f>'Oct 05'!$E58/'Oct 05'!$F58</f>
        <v>3.1136877072014135</v>
      </c>
      <c r="H58" s="34">
        <v>5</v>
      </c>
      <c r="I58" s="34">
        <v>3</v>
      </c>
      <c r="J58" s="38">
        <f t="shared" si="3"/>
        <v>-2</v>
      </c>
      <c r="K58" s="39">
        <f>'Oct 05'!$F58*'Oct 05'!$I58</f>
        <v>133068</v>
      </c>
      <c r="L58" s="40">
        <f>'Oct 05'!$K58/$K$2</f>
        <v>9.1077491559887693E-4</v>
      </c>
      <c r="M58" s="41"/>
    </row>
    <row r="59" spans="1:16" s="43" customFormat="1" ht="25.5" x14ac:dyDescent="0.25">
      <c r="A59" s="34" t="s">
        <v>191</v>
      </c>
      <c r="B59" s="34" t="s">
        <v>200</v>
      </c>
      <c r="C59" s="34" t="s">
        <v>99</v>
      </c>
      <c r="D59" s="35">
        <v>9.8200000000000002E-4</v>
      </c>
      <c r="E59" s="36">
        <f>'Oct 05'!$D59*$C$6*$C$2</f>
        <v>138110.7319406259</v>
      </c>
      <c r="F59" s="36">
        <v>12058</v>
      </c>
      <c r="G59" s="72">
        <f>'Oct 05'!$E59/'Oct 05'!$F59</f>
        <v>11.453867303087238</v>
      </c>
      <c r="H59" s="34">
        <v>19</v>
      </c>
      <c r="I59" s="34">
        <v>11</v>
      </c>
      <c r="J59" s="38">
        <f t="shared" si="3"/>
        <v>-8</v>
      </c>
      <c r="K59" s="39">
        <f>'Oct 05'!$F59*'Oct 05'!$I59</f>
        <v>132638</v>
      </c>
      <c r="L59" s="40">
        <f>'Oct 05'!$K59/$K$2</f>
        <v>9.0783180971536236E-4</v>
      </c>
      <c r="M59" s="41"/>
    </row>
    <row r="60" spans="1:16" s="43" customFormat="1" ht="25.5" x14ac:dyDescent="0.25">
      <c r="A60" s="34" t="s">
        <v>191</v>
      </c>
      <c r="B60" s="34" t="s">
        <v>201</v>
      </c>
      <c r="C60" s="34" t="s">
        <v>102</v>
      </c>
      <c r="D60" s="35">
        <v>9.8200000000000002E-4</v>
      </c>
      <c r="E60" s="36">
        <f>'Oct 05'!$D60*$C$6*$C$2</f>
        <v>138110.7319406259</v>
      </c>
      <c r="F60" s="36">
        <v>88677.333333333299</v>
      </c>
      <c r="G60" s="72">
        <f>'Oct 05'!$E60/'Oct 05'!$F60</f>
        <v>1.5574524712135303</v>
      </c>
      <c r="H60" s="34">
        <v>3</v>
      </c>
      <c r="I60" s="34">
        <v>2</v>
      </c>
      <c r="J60" s="38">
        <f t="shared" si="3"/>
        <v>-1</v>
      </c>
      <c r="K60" s="39">
        <f>'Oct 05'!$F60*'Oct 05'!$I60</f>
        <v>177354.6666666666</v>
      </c>
      <c r="L60" s="40">
        <f>'Oct 05'!$K60/$K$2</f>
        <v>1.2138920068265867E-3</v>
      </c>
      <c r="M60" s="41"/>
    </row>
    <row r="61" spans="1:16" s="2" customFormat="1" ht="25.5" x14ac:dyDescent="0.2">
      <c r="A61" s="34" t="s">
        <v>191</v>
      </c>
      <c r="B61" s="61" t="s">
        <v>202</v>
      </c>
      <c r="C61" s="61" t="s">
        <v>133</v>
      </c>
      <c r="D61" s="35">
        <v>9.8200000000000002E-4</v>
      </c>
      <c r="E61" s="36">
        <f>'Oct 05'!$D61*$C$6*$C$2</f>
        <v>138110.7319406259</v>
      </c>
      <c r="F61" s="36">
        <v>57516.75</v>
      </c>
      <c r="G61" s="72">
        <f>'Oct 05'!$E61/'Oct 05'!$F61</f>
        <v>2.4012262852234505</v>
      </c>
      <c r="H61" s="34">
        <v>4</v>
      </c>
      <c r="I61" s="34">
        <v>2</v>
      </c>
      <c r="J61" s="38">
        <f t="shared" si="3"/>
        <v>-2</v>
      </c>
      <c r="K61" s="39">
        <f>'Oct 05'!$F61*'Oct 05'!$I61</f>
        <v>115033.5</v>
      </c>
      <c r="L61" s="40">
        <f>'Oct 05'!$K61/$K$2</f>
        <v>7.8733900151458963E-4</v>
      </c>
      <c r="M61" s="62"/>
    </row>
    <row r="62" spans="1:16" s="43" customFormat="1" ht="25.5" x14ac:dyDescent="0.25">
      <c r="A62" s="34" t="s">
        <v>191</v>
      </c>
      <c r="B62" s="34" t="s">
        <v>203</v>
      </c>
      <c r="C62" s="34" t="s">
        <v>204</v>
      </c>
      <c r="D62" s="35">
        <v>9.8200000000000002E-4</v>
      </c>
      <c r="E62" s="36">
        <f>'Oct 05'!$D62*$C$6*$C$2</f>
        <v>138110.7319406259</v>
      </c>
      <c r="F62" s="36">
        <v>120375</v>
      </c>
      <c r="G62" s="72">
        <f>'Oct 05'!$E62/'Oct 05'!$F62</f>
        <v>1.1473373369937769</v>
      </c>
      <c r="H62" s="34">
        <v>2</v>
      </c>
      <c r="I62" s="34">
        <v>1</v>
      </c>
      <c r="J62" s="38">
        <f t="shared" si="3"/>
        <v>-1</v>
      </c>
      <c r="K62" s="39">
        <f>'Oct 05'!$F62*'Oct 05'!$I62</f>
        <v>120375</v>
      </c>
      <c r="L62" s="40">
        <f>'Oct 05'!$K62/$K$2</f>
        <v>8.2389853657689912E-4</v>
      </c>
      <c r="M62" s="41"/>
    </row>
    <row r="63" spans="1:16" s="43" customFormat="1" ht="12.75" x14ac:dyDescent="0.25">
      <c r="A63" s="34"/>
      <c r="B63" s="34"/>
      <c r="C63" s="34"/>
      <c r="D63" s="35"/>
      <c r="E63" s="36"/>
      <c r="F63" s="36"/>
      <c r="G63" s="37"/>
      <c r="H63" s="34"/>
      <c r="I63" s="34"/>
      <c r="J63" s="41"/>
      <c r="K63" s="39"/>
      <c r="L63" s="40"/>
      <c r="M63" s="41"/>
    </row>
    <row r="64" spans="1:16" s="43" customFormat="1" ht="12.75" x14ac:dyDescent="0.25">
      <c r="A64" s="34"/>
      <c r="B64" s="34"/>
      <c r="C64" s="34"/>
      <c r="D64" s="35"/>
      <c r="E64" s="36"/>
      <c r="F64" s="36"/>
      <c r="G64" s="37"/>
      <c r="H64" s="34"/>
      <c r="I64" s="34"/>
      <c r="J64" s="41"/>
      <c r="K64" s="39"/>
      <c r="L64" s="40"/>
      <c r="M64" s="41"/>
    </row>
    <row r="65" spans="1:13" s="43" customFormat="1" ht="12.75" x14ac:dyDescent="0.25">
      <c r="A65" s="34"/>
      <c r="B65" s="34"/>
      <c r="C65" s="34"/>
      <c r="D65" s="35"/>
      <c r="E65" s="36"/>
      <c r="F65" s="36"/>
      <c r="G65" s="37"/>
      <c r="H65" s="34"/>
      <c r="I65" s="34"/>
      <c r="J65" s="41"/>
      <c r="K65" s="39"/>
      <c r="L65" s="40"/>
      <c r="M65" s="41"/>
    </row>
    <row r="66" spans="1:13" s="43" customFormat="1" ht="12.75" x14ac:dyDescent="0.25">
      <c r="A66" s="34"/>
      <c r="B66" s="34"/>
      <c r="C66" s="34"/>
      <c r="D66" s="35"/>
      <c r="E66" s="36"/>
      <c r="F66" s="36"/>
      <c r="G66" s="37"/>
      <c r="H66" s="34"/>
      <c r="I66" s="34"/>
      <c r="J66" s="41"/>
      <c r="K66" s="39"/>
      <c r="L66" s="40"/>
      <c r="M66" s="41"/>
    </row>
    <row r="67" spans="1:13" s="43" customFormat="1" ht="12.75" x14ac:dyDescent="0.25">
      <c r="A67" s="34"/>
      <c r="B67" s="34"/>
      <c r="C67" s="34"/>
      <c r="D67" s="35"/>
      <c r="E67" s="36"/>
      <c r="F67" s="36"/>
      <c r="G67" s="37"/>
      <c r="H67" s="34"/>
      <c r="I67" s="34"/>
      <c r="J67" s="41"/>
      <c r="K67" s="39"/>
      <c r="L67" s="40"/>
      <c r="M67" s="41"/>
    </row>
    <row r="68" spans="1:13" s="43" customFormat="1" ht="12.75" x14ac:dyDescent="0.25">
      <c r="A68" s="34"/>
      <c r="B68" s="34"/>
      <c r="C68" s="34"/>
      <c r="D68" s="35"/>
      <c r="E68" s="36"/>
      <c r="F68" s="36"/>
      <c r="G68" s="37"/>
      <c r="H68" s="34"/>
      <c r="I68" s="34"/>
      <c r="J68" s="41"/>
      <c r="K68" s="39"/>
      <c r="L68" s="40"/>
      <c r="M68" s="41"/>
    </row>
    <row r="69" spans="1:13" s="43" customFormat="1" ht="12.75" x14ac:dyDescent="0.25">
      <c r="A69" s="34"/>
      <c r="B69" s="34"/>
      <c r="C69" s="34"/>
      <c r="D69" s="35"/>
      <c r="E69" s="36"/>
      <c r="F69" s="36"/>
      <c r="G69" s="37"/>
      <c r="H69" s="34"/>
      <c r="I69" s="34"/>
      <c r="J69" s="41"/>
      <c r="K69" s="39"/>
      <c r="L69" s="40"/>
      <c r="M69" s="41"/>
    </row>
    <row r="70" spans="1:13" s="15" customFormat="1" ht="12.75" x14ac:dyDescent="0.2">
      <c r="A70" s="47" t="s">
        <v>205</v>
      </c>
      <c r="B70" s="65"/>
      <c r="C70" s="65"/>
      <c r="D70" s="73">
        <f>SUM(D53:D69)</f>
        <v>9.8200000000000006E-3</v>
      </c>
      <c r="E70" s="49">
        <f>SUM(E52:E69)</f>
        <v>1381107.3194062591</v>
      </c>
      <c r="F70" s="68"/>
      <c r="G70" s="68"/>
      <c r="H70" s="65"/>
      <c r="I70" s="65"/>
      <c r="J70" s="47"/>
      <c r="K70" s="49">
        <f>SUM(K52:K69)</f>
        <v>1508779.5</v>
      </c>
      <c r="L70" s="52">
        <f>'Oct 05'!$K70/$K$2</f>
        <v>1.0326739124130638E-2</v>
      </c>
      <c r="M70" s="59"/>
    </row>
    <row r="71" spans="1:13" s="2" customFormat="1" ht="12.75" x14ac:dyDescent="0.2">
      <c r="A71" s="34"/>
      <c r="B71" s="61"/>
      <c r="C71" s="61"/>
      <c r="D71" s="74"/>
      <c r="E71" s="36"/>
      <c r="F71" s="36"/>
      <c r="G71" s="37"/>
      <c r="H71" s="61"/>
      <c r="I71" s="61"/>
      <c r="J71" s="34"/>
      <c r="K71" s="34"/>
      <c r="L71" s="40"/>
      <c r="M71" s="62"/>
    </row>
    <row r="72" spans="1:13" s="43" customFormat="1" ht="25.5" x14ac:dyDescent="0.25">
      <c r="A72" s="47" t="s">
        <v>206</v>
      </c>
      <c r="B72" s="54" t="s">
        <v>207</v>
      </c>
      <c r="C72" s="54" t="s">
        <v>119</v>
      </c>
      <c r="D72" s="55">
        <v>8.8889999999999993E-3</v>
      </c>
      <c r="E72" s="56">
        <f>'Oct 05'!$D72*$C$6*$C$2</f>
        <v>1250169.3444197797</v>
      </c>
      <c r="F72" s="56">
        <v>31450.1</v>
      </c>
      <c r="G72" s="57">
        <f>'Oct 05'!$E72/'Oct 05'!$F72</f>
        <v>39.750886147254853</v>
      </c>
      <c r="H72" s="54">
        <v>20</v>
      </c>
      <c r="I72" s="54">
        <v>40</v>
      </c>
      <c r="J72" s="75">
        <f>I72-H72</f>
        <v>20</v>
      </c>
      <c r="K72" s="56">
        <f>'Oct 05'!$F72*'Oct 05'!$I72</f>
        <v>1258004</v>
      </c>
      <c r="L72" s="76">
        <f>'Oct 05'!$K72/$K$2</f>
        <v>8.6103231950810828E-3</v>
      </c>
      <c r="M72" s="54"/>
    </row>
    <row r="73" spans="1:13" s="2" customFormat="1" ht="12.75" x14ac:dyDescent="0.2">
      <c r="A73" s="34"/>
      <c r="B73" s="61"/>
      <c r="C73" s="61"/>
      <c r="D73" s="74"/>
      <c r="E73" s="36"/>
      <c r="F73" s="36"/>
      <c r="G73" s="37"/>
      <c r="H73" s="61"/>
      <c r="I73" s="61"/>
      <c r="J73" s="34"/>
      <c r="K73" s="34"/>
      <c r="L73" s="40"/>
      <c r="M73" s="62"/>
    </row>
    <row r="74" spans="1:13" s="2" customFormat="1" ht="12.75" x14ac:dyDescent="0.2">
      <c r="A74" s="34"/>
      <c r="B74" s="61"/>
      <c r="C74" s="61"/>
      <c r="D74" s="77"/>
      <c r="E74" s="63"/>
      <c r="F74" s="36"/>
      <c r="G74" s="37"/>
      <c r="H74" s="61"/>
      <c r="I74" s="61"/>
      <c r="J74" s="34"/>
      <c r="K74" s="34"/>
      <c r="L74" s="40"/>
      <c r="M74" s="62"/>
    </row>
    <row r="75" spans="1:13" s="15" customFormat="1" ht="12.75" x14ac:dyDescent="0.2">
      <c r="A75" s="47" t="s">
        <v>208</v>
      </c>
      <c r="B75" s="65"/>
      <c r="C75" s="65"/>
      <c r="D75" s="65"/>
      <c r="E75" s="78"/>
      <c r="F75" s="78"/>
      <c r="G75" s="47"/>
      <c r="H75" s="65"/>
      <c r="I75" s="65"/>
      <c r="J75" s="65"/>
      <c r="K75" s="78">
        <f>SUM(K25,K27,K40,K50,K70,K72)</f>
        <v>146104155.6162113</v>
      </c>
      <c r="L75" s="52">
        <f>'Oct 05'!$K75/$K$2</f>
        <v>1.0000000000000002</v>
      </c>
      <c r="M75" s="65"/>
    </row>
    <row r="76" spans="1:13" s="2" customFormat="1" ht="12.75" x14ac:dyDescent="0.2">
      <c r="A76" s="62"/>
      <c r="B76" s="62"/>
      <c r="C76" s="62"/>
      <c r="D76" s="79"/>
      <c r="E76" s="80"/>
      <c r="F76" s="36"/>
      <c r="G76" s="81"/>
      <c r="H76" s="62"/>
      <c r="I76" s="62"/>
      <c r="J76" s="62"/>
      <c r="K76" s="62"/>
      <c r="L76" s="40"/>
      <c r="M76" s="62"/>
    </row>
    <row r="77" spans="1:13" s="2" customFormat="1" ht="12.75" x14ac:dyDescent="0.2">
      <c r="A77" s="62"/>
      <c r="B77" s="62"/>
      <c r="C77" s="62"/>
      <c r="D77" s="79"/>
      <c r="E77" s="80"/>
      <c r="F77" s="36"/>
      <c r="G77" s="81"/>
      <c r="H77" s="62"/>
      <c r="I77" s="62"/>
      <c r="J77" s="62"/>
      <c r="K77" s="62"/>
      <c r="L77" s="40"/>
      <c r="M77" s="62"/>
    </row>
    <row r="78" spans="1:13" s="2" customFormat="1" ht="12.75" x14ac:dyDescent="0.2">
      <c r="A78" s="62"/>
      <c r="B78" s="62"/>
      <c r="C78" s="62"/>
      <c r="D78" s="79"/>
      <c r="E78" s="80"/>
      <c r="F78" s="36"/>
      <c r="G78" s="81"/>
      <c r="H78" s="62"/>
      <c r="I78" s="62"/>
      <c r="J78" s="62"/>
      <c r="K78" s="62"/>
      <c r="L78" s="40"/>
      <c r="M78" s="62"/>
    </row>
    <row r="79" spans="1:13" s="2" customFormat="1" ht="12.75" x14ac:dyDescent="0.2">
      <c r="A79" s="62"/>
      <c r="B79" s="62"/>
      <c r="C79" s="62"/>
      <c r="D79" s="79"/>
      <c r="E79" s="80"/>
      <c r="F79" s="36"/>
      <c r="G79" s="81"/>
      <c r="H79" s="62"/>
      <c r="I79" s="62"/>
      <c r="J79" s="62"/>
      <c r="K79" s="62"/>
      <c r="L79" s="40"/>
      <c r="M79" s="62"/>
    </row>
    <row r="80" spans="1:13" s="2" customFormat="1" ht="12.75" x14ac:dyDescent="0.2">
      <c r="A80" s="62"/>
      <c r="B80" s="62"/>
      <c r="C80" s="62"/>
      <c r="D80" s="79"/>
      <c r="E80" s="80"/>
      <c r="F80" s="36"/>
      <c r="G80" s="81"/>
      <c r="H80" s="62"/>
      <c r="I80" s="62"/>
      <c r="J80" s="62"/>
      <c r="K80" s="62"/>
      <c r="L80" s="40"/>
      <c r="M80" s="62"/>
    </row>
    <row r="81" spans="1:13" s="2" customFormat="1" ht="12.75" x14ac:dyDescent="0.2">
      <c r="A81" s="62"/>
      <c r="B81" s="62"/>
      <c r="C81" s="62"/>
      <c r="D81" s="79"/>
      <c r="E81" s="80"/>
      <c r="F81" s="36"/>
      <c r="G81" s="81"/>
      <c r="H81" s="62"/>
      <c r="I81" s="62"/>
      <c r="J81" s="62"/>
      <c r="K81" s="62"/>
      <c r="L81" s="40"/>
      <c r="M81" s="62"/>
    </row>
    <row r="82" spans="1:13" s="2" customFormat="1" ht="12.75" x14ac:dyDescent="0.2">
      <c r="A82" s="62"/>
      <c r="B82" s="62"/>
      <c r="C82" s="62"/>
      <c r="D82" s="79"/>
      <c r="E82" s="80"/>
      <c r="F82" s="36"/>
      <c r="G82" s="81"/>
      <c r="H82" s="62"/>
      <c r="I82" s="62"/>
      <c r="J82" s="62"/>
      <c r="K82" s="62"/>
      <c r="L82" s="40"/>
      <c r="M82" s="62"/>
    </row>
    <row r="83" spans="1:13" s="2" customFormat="1" ht="12.75" x14ac:dyDescent="0.2">
      <c r="A83" s="62"/>
      <c r="B83" s="62"/>
      <c r="C83" s="62"/>
      <c r="D83" s="79"/>
      <c r="E83" s="80"/>
      <c r="F83" s="36"/>
      <c r="G83" s="81"/>
      <c r="H83" s="62"/>
      <c r="I83" s="62"/>
      <c r="J83" s="62"/>
      <c r="K83" s="62"/>
      <c r="L83" s="40"/>
      <c r="M83" s="62"/>
    </row>
    <row r="84" spans="1:13" s="2" customFormat="1" ht="12.75" x14ac:dyDescent="0.2">
      <c r="A84" s="62"/>
      <c r="B84" s="62"/>
      <c r="C84" s="62"/>
      <c r="D84" s="79"/>
      <c r="E84" s="80"/>
      <c r="F84" s="36"/>
      <c r="G84" s="81"/>
      <c r="H84" s="62"/>
      <c r="I84" s="62"/>
      <c r="J84" s="62"/>
      <c r="K84" s="62"/>
      <c r="L84" s="40"/>
      <c r="M84" s="62"/>
    </row>
    <row r="85" spans="1:13" s="2" customFormat="1" ht="12.75" x14ac:dyDescent="0.2"/>
    <row r="86" spans="1:13" s="2" customFormat="1" ht="12.75" x14ac:dyDescent="0.2"/>
    <row r="88" spans="1:13" s="2" customFormat="1" ht="12.75" x14ac:dyDescent="0.2">
      <c r="A88" s="82"/>
      <c r="B88" s="82"/>
      <c r="E88" s="82"/>
      <c r="F88" s="82"/>
      <c r="G88" s="82"/>
      <c r="H88" s="83"/>
      <c r="M88" s="82"/>
    </row>
    <row r="89" spans="1:13" s="2" customFormat="1" ht="12.75" x14ac:dyDescent="0.2">
      <c r="A89" s="82"/>
      <c r="B89" s="82"/>
      <c r="E89" s="82"/>
      <c r="F89" s="82"/>
      <c r="G89" s="82"/>
      <c r="H89" s="83"/>
      <c r="M89" s="82"/>
    </row>
    <row r="90" spans="1:13" s="2" customFormat="1" ht="12.75" x14ac:dyDescent="0.2">
      <c r="A90" s="84"/>
      <c r="B90" s="84"/>
    </row>
    <row r="91" spans="1:13" s="2" customFormat="1" ht="12.75" x14ac:dyDescent="0.2">
      <c r="A91" s="85"/>
      <c r="B91" s="85"/>
      <c r="E91" s="85"/>
      <c r="F91" s="84"/>
      <c r="G91" s="84"/>
      <c r="M91" s="86"/>
    </row>
    <row r="92" spans="1:13" s="2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H93"/>
  <sheetViews>
    <sheetView topLeftCell="A25" zoomScale="125" zoomScaleNormal="125" workbookViewId="0">
      <pane xSplit="2" topLeftCell="C1" activePane="topRight" state="frozen"/>
      <selection activeCell="A25" sqref="A25"/>
      <selection pane="topRight" activeCell="D41" sqref="D41"/>
    </sheetView>
  </sheetViews>
  <sheetFormatPr defaultColWidth="9.140625" defaultRowHeight="15" x14ac:dyDescent="0.25"/>
  <cols>
    <col min="1" max="2" width="15.140625" style="2" customWidth="1"/>
    <col min="3" max="3" width="29.28515625" style="2" customWidth="1"/>
    <col min="4" max="4" width="14.85546875" style="2" customWidth="1"/>
    <col min="5" max="5" width="27.42578125" style="2" customWidth="1"/>
    <col min="6" max="7" width="13.7109375" style="2" customWidth="1"/>
    <col min="8" max="8" width="16.5703125" style="2" customWidth="1"/>
    <col min="9" max="9" width="15.5703125" style="2" customWidth="1"/>
    <col min="10" max="10" width="13.42578125" customWidth="1"/>
    <col min="11" max="11" width="23.5703125" customWidth="1"/>
    <col min="12" max="12" width="13.42578125" customWidth="1"/>
    <col min="13" max="13" width="22.5703125" style="2" customWidth="1"/>
    <col min="14" max="16" width="10.85546875" style="2" customWidth="1"/>
    <col min="17" max="17" width="11.28515625" style="2" customWidth="1"/>
    <col min="18" max="1022" width="9.140625" style="2"/>
  </cols>
  <sheetData>
    <row r="1" spans="1:17" s="2" customFormat="1" ht="25.5" x14ac:dyDescent="0.2">
      <c r="A1" s="3"/>
      <c r="B1" s="3" t="s">
        <v>138</v>
      </c>
      <c r="C1" s="4">
        <v>44110</v>
      </c>
      <c r="D1" s="5"/>
      <c r="E1" s="6" t="s">
        <v>139</v>
      </c>
      <c r="F1" s="7"/>
      <c r="G1" s="8"/>
      <c r="K1" s="9" t="s">
        <v>140</v>
      </c>
      <c r="L1" s="9" t="s">
        <v>141</v>
      </c>
      <c r="M1" s="10" t="s">
        <v>142</v>
      </c>
    </row>
    <row r="2" spans="1:17" x14ac:dyDescent="0.25">
      <c r="A2" s="3"/>
      <c r="B2" s="3" t="s">
        <v>143</v>
      </c>
      <c r="C2" s="11">
        <v>7.9349999999999996</v>
      </c>
      <c r="D2" s="12"/>
      <c r="E2" s="13">
        <f>SUM(E24,E41,E51,E71,E26,E73)</f>
        <v>148207889.0213756</v>
      </c>
      <c r="F2" s="14"/>
      <c r="G2" s="15"/>
      <c r="H2" s="12"/>
      <c r="I2" s="12"/>
      <c r="J2" s="12"/>
      <c r="K2" s="13">
        <f>SUM(K24,K41,K51,K71,K26,K73)</f>
        <v>149674981.69703275</v>
      </c>
      <c r="L2" s="16">
        <f>SUM(L51,L71,L41,L24,L26,L73)</f>
        <v>1</v>
      </c>
      <c r="M2" s="17">
        <f>K2/$C$6</f>
        <v>8.013626977288359</v>
      </c>
      <c r="N2" s="18"/>
    </row>
    <row r="3" spans="1:17" ht="26.25" x14ac:dyDescent="0.25">
      <c r="A3" s="3"/>
      <c r="B3" s="3" t="s">
        <v>144</v>
      </c>
      <c r="C3" s="19">
        <v>18677557.879999999</v>
      </c>
      <c r="D3" s="20"/>
      <c r="E3" s="6" t="s">
        <v>145</v>
      </c>
      <c r="F3" s="14"/>
      <c r="G3" s="15"/>
      <c r="H3" s="12"/>
      <c r="I3" s="12"/>
      <c r="J3" s="12"/>
      <c r="K3" s="6" t="s">
        <v>145</v>
      </c>
      <c r="L3" s="12"/>
      <c r="M3" s="10" t="s">
        <v>146</v>
      </c>
      <c r="N3" s="21"/>
    </row>
    <row r="4" spans="1:17" x14ac:dyDescent="0.25">
      <c r="A4" s="3"/>
      <c r="B4" s="3" t="s">
        <v>147</v>
      </c>
      <c r="C4" s="19">
        <v>0</v>
      </c>
      <c r="D4" s="20"/>
      <c r="E4" s="13">
        <f>SUM(E24,E71,E26)</f>
        <v>26192654.306570187</v>
      </c>
      <c r="F4" s="14"/>
      <c r="G4" s="15"/>
      <c r="H4" s="12"/>
      <c r="I4" s="12"/>
      <c r="J4" s="12"/>
      <c r="K4" s="13">
        <f>SUM(K24,K26,K71)</f>
        <v>26263796.972591162</v>
      </c>
      <c r="L4" s="12"/>
      <c r="M4" s="17">
        <f>K4/$C$6</f>
        <v>1.4061686833648921</v>
      </c>
      <c r="N4" s="21"/>
    </row>
    <row r="5" spans="1:17" x14ac:dyDescent="0.25">
      <c r="A5" s="3"/>
      <c r="B5" s="3" t="s">
        <v>148</v>
      </c>
      <c r="C5" s="19">
        <v>0</v>
      </c>
      <c r="D5" s="20"/>
      <c r="E5" s="14"/>
      <c r="F5" s="14"/>
      <c r="G5" s="22">
        <f>SUM(D24,D26,D41,D51,D71,D73)</f>
        <v>1.0000099000000002</v>
      </c>
      <c r="H5" s="12"/>
      <c r="I5" s="12"/>
      <c r="J5" s="12"/>
      <c r="K5" s="12"/>
      <c r="L5" s="12"/>
      <c r="M5" s="12"/>
      <c r="N5" s="21"/>
    </row>
    <row r="6" spans="1:17" x14ac:dyDescent="0.25">
      <c r="A6" s="3"/>
      <c r="B6" s="3" t="s">
        <v>149</v>
      </c>
      <c r="C6" s="19">
        <f>C3+C4-C5</f>
        <v>18677557.879999999</v>
      </c>
      <c r="D6" s="20"/>
      <c r="E6" s="14"/>
      <c r="F6" s="14"/>
      <c r="G6" s="15"/>
      <c r="H6" s="12"/>
      <c r="I6" s="12"/>
      <c r="J6" s="12"/>
      <c r="K6" s="12"/>
      <c r="L6" s="12"/>
      <c r="M6" s="12"/>
      <c r="N6" s="21"/>
    </row>
    <row r="7" spans="1:17" x14ac:dyDescent="0.25">
      <c r="A7" s="23"/>
      <c r="B7" s="24"/>
      <c r="C7" s="24"/>
      <c r="D7" s="25"/>
      <c r="E7" s="26"/>
      <c r="F7" s="26"/>
      <c r="G7" s="26"/>
      <c r="H7" s="27"/>
      <c r="I7" s="27"/>
      <c r="J7" s="27"/>
      <c r="K7" s="12"/>
      <c r="L7" s="12"/>
      <c r="M7" s="12"/>
      <c r="N7" s="21"/>
    </row>
    <row r="8" spans="1:17" s="32" customFormat="1" ht="38.25" x14ac:dyDescent="0.2">
      <c r="A8" s="28" t="s">
        <v>150</v>
      </c>
      <c r="B8" s="28" t="s">
        <v>151</v>
      </c>
      <c r="C8" s="29" t="s">
        <v>1</v>
      </c>
      <c r="D8" s="29" t="s">
        <v>152</v>
      </c>
      <c r="E8" s="29" t="s">
        <v>153</v>
      </c>
      <c r="F8" s="29" t="s">
        <v>154</v>
      </c>
      <c r="G8" s="29" t="s">
        <v>155</v>
      </c>
      <c r="H8" s="29" t="s">
        <v>156</v>
      </c>
      <c r="I8" s="29" t="s">
        <v>157</v>
      </c>
      <c r="J8" s="29" t="s">
        <v>158</v>
      </c>
      <c r="K8" s="30" t="s">
        <v>159</v>
      </c>
      <c r="L8" s="30" t="s">
        <v>160</v>
      </c>
      <c r="M8" s="30" t="s">
        <v>161</v>
      </c>
      <c r="N8" s="31"/>
      <c r="Q8" s="33"/>
    </row>
    <row r="9" spans="1:17" s="43" customFormat="1" ht="12.75" x14ac:dyDescent="0.25">
      <c r="A9" s="34" t="s">
        <v>162</v>
      </c>
      <c r="B9" s="34" t="s">
        <v>46</v>
      </c>
      <c r="C9" s="34" t="s">
        <v>47</v>
      </c>
      <c r="D9" s="35">
        <v>1.01689E-2</v>
      </c>
      <c r="E9" s="36">
        <f>'Oct 06'!$D9*$C$6*$C$2</f>
        <v>1507096.2824162703</v>
      </c>
      <c r="F9" s="36">
        <v>544.399840700916</v>
      </c>
      <c r="G9" s="37">
        <f>'Oct 06'!$E9/'Oct 06'!$F9</f>
        <v>2768.3628277258135</v>
      </c>
      <c r="H9" s="34">
        <v>2511</v>
      </c>
      <c r="I9" s="34">
        <f>ROUND(Table138958456799101112131445626789101112131415161718192021345[[#This Row],[Target Quantity]],0)</f>
        <v>2768</v>
      </c>
      <c r="J9" s="38">
        <f t="shared" ref="J9:J22" si="0">I9-H9</f>
        <v>257</v>
      </c>
      <c r="K9" s="39">
        <f>'Oct 06'!$F9*'Oct 06'!$I9</f>
        <v>1506898.7590601356</v>
      </c>
      <c r="L9" s="40">
        <f>'Oct 06'!$K9/$K$2</f>
        <v>1.0067806536367923E-2</v>
      </c>
      <c r="M9" s="41"/>
      <c r="N9" s="42"/>
      <c r="O9" s="87"/>
    </row>
    <row r="10" spans="1:17" s="43" customFormat="1" ht="12.75" customHeight="1" x14ac:dyDescent="0.25">
      <c r="A10" s="34" t="s">
        <v>162</v>
      </c>
      <c r="B10" s="34" t="s">
        <v>55</v>
      </c>
      <c r="C10" s="34" t="s">
        <v>56</v>
      </c>
      <c r="D10" s="35">
        <v>1.0168999999999999E-2</v>
      </c>
      <c r="E10" s="36">
        <f>'Oct 06'!$D10*$C$6*$C$2</f>
        <v>1507111.1030584481</v>
      </c>
      <c r="F10" s="36">
        <v>422.40012763241901</v>
      </c>
      <c r="G10" s="37">
        <f>'Oct 06'!$E10/'Oct 06'!$F10</f>
        <v>3567.9702833091142</v>
      </c>
      <c r="H10" s="34">
        <v>3134</v>
      </c>
      <c r="I10" s="34">
        <f>ROUND(Table138958456799101112131445626789101112131415161718192021345[[#This Row],[Target Quantity]],0)</f>
        <v>3568</v>
      </c>
      <c r="J10" s="38">
        <f t="shared" si="0"/>
        <v>434</v>
      </c>
      <c r="K10" s="39">
        <f>'Oct 06'!$F10*'Oct 06'!$I10</f>
        <v>1507123.655392471</v>
      </c>
      <c r="L10" s="40">
        <f>'Oct 06'!$K10/$K$2</f>
        <v>1.0069309100990183E-2</v>
      </c>
      <c r="M10" s="41"/>
    </row>
    <row r="11" spans="1:17" s="43" customFormat="1" ht="12.75" customHeight="1" x14ac:dyDescent="0.25">
      <c r="A11" s="34" t="s">
        <v>162</v>
      </c>
      <c r="B11" s="34" t="s">
        <v>37</v>
      </c>
      <c r="C11" s="34" t="s">
        <v>38</v>
      </c>
      <c r="D11" s="35">
        <v>1.0168999999999999E-2</v>
      </c>
      <c r="E11" s="36">
        <f>'Oct 06'!$D11*$C$6*$C$2</f>
        <v>1507111.1030584481</v>
      </c>
      <c r="F11" s="36">
        <v>76.779990736452106</v>
      </c>
      <c r="G11" s="37">
        <f>'Oct 06'!$E11/'Oct 06'!$F11</f>
        <v>19628.956562805772</v>
      </c>
      <c r="H11" s="34">
        <v>17272</v>
      </c>
      <c r="I11" s="34">
        <f>ROUND(Table138958456799101112131445626789101112131415161718192021345[[#This Row],[Target Quantity]],0)</f>
        <v>19629</v>
      </c>
      <c r="J11" s="38">
        <f t="shared" si="0"/>
        <v>2357</v>
      </c>
      <c r="K11" s="39">
        <f>'Oct 06'!$F11*'Oct 06'!$I11</f>
        <v>1507114.4381658183</v>
      </c>
      <c r="L11" s="40">
        <f>'Oct 06'!$K11/$K$2</f>
        <v>1.0069247519378158E-2</v>
      </c>
      <c r="M11" s="41"/>
    </row>
    <row r="12" spans="1:17" s="44" customFormat="1" ht="12.75" customHeight="1" x14ac:dyDescent="0.25">
      <c r="A12" s="34" t="s">
        <v>162</v>
      </c>
      <c r="B12" s="34" t="s">
        <v>23</v>
      </c>
      <c r="C12" s="34" t="s">
        <v>24</v>
      </c>
      <c r="D12" s="35">
        <v>1.0168999999999999E-2</v>
      </c>
      <c r="E12" s="36">
        <f>'Oct 06'!$D12*$C$6*$C$2</f>
        <v>1507111.1030584481</v>
      </c>
      <c r="F12" s="36">
        <v>225.919939322434</v>
      </c>
      <c r="G12" s="37">
        <f>'Oct 06'!$E12/'Oct 06'!$F12</f>
        <v>6670.9964050915041</v>
      </c>
      <c r="H12" s="34">
        <v>5933</v>
      </c>
      <c r="I12" s="34">
        <f>ROUND(Table138958456799101112131445626789101112131415161718192021345[[#This Row],[Target Quantity]],0)</f>
        <v>6671</v>
      </c>
      <c r="J12" s="38">
        <f t="shared" si="0"/>
        <v>738</v>
      </c>
      <c r="K12" s="39">
        <f>'Oct 06'!$F12*'Oct 06'!$I12</f>
        <v>1507111.9152199572</v>
      </c>
      <c r="L12" s="40">
        <f>'Oct 06'!$K12/$K$2</f>
        <v>1.0069230663215342E-2</v>
      </c>
      <c r="M12" s="34"/>
    </row>
    <row r="13" spans="1:17" s="44" customFormat="1" ht="12.75" customHeight="1" x14ac:dyDescent="0.25">
      <c r="A13" s="34" t="s">
        <v>162</v>
      </c>
      <c r="B13" s="34" t="s">
        <v>60</v>
      </c>
      <c r="C13" s="34" t="s">
        <v>61</v>
      </c>
      <c r="D13" s="35">
        <v>1.0168999999999999E-2</v>
      </c>
      <c r="E13" s="36">
        <f>'Oct 06'!$D13*$C$6*$C$2</f>
        <v>1507111.1030584481</v>
      </c>
      <c r="F13" s="36">
        <v>485.37001828153598</v>
      </c>
      <c r="G13" s="37">
        <f>'Oct 06'!$E13/'Oct 06'!$F13</f>
        <v>3105.076634923621</v>
      </c>
      <c r="H13" s="34">
        <v>2735</v>
      </c>
      <c r="I13" s="34">
        <f>ROUND(Table138958456799101112131445626789101112131415161718192021345[[#This Row],[Target Quantity]],0)</f>
        <v>3105</v>
      </c>
      <c r="J13" s="38">
        <f t="shared" si="0"/>
        <v>370</v>
      </c>
      <c r="K13" s="39">
        <f>'Oct 06'!$F13*'Oct 06'!$I13</f>
        <v>1507073.9067641692</v>
      </c>
      <c r="L13" s="40">
        <f>'Oct 06'!$K13/$K$2</f>
        <v>1.0068976723275901E-2</v>
      </c>
      <c r="M13" s="34"/>
    </row>
    <row r="14" spans="1:17" s="44" customFormat="1" ht="12.75" customHeight="1" x14ac:dyDescent="0.25">
      <c r="A14" s="34" t="s">
        <v>162</v>
      </c>
      <c r="B14" s="34" t="s">
        <v>163</v>
      </c>
      <c r="C14" s="34" t="s">
        <v>164</v>
      </c>
      <c r="D14" s="35">
        <v>1.0168999999999999E-2</v>
      </c>
      <c r="E14" s="36">
        <f>'Oct 06'!$D14*$C$6*$C$2</f>
        <v>1507111.1030584481</v>
      </c>
      <c r="F14" s="36">
        <v>3182</v>
      </c>
      <c r="G14" s="37">
        <f>'Oct 06'!$E14/'Oct 06'!$F14</f>
        <v>473.63642459410687</v>
      </c>
      <c r="H14" s="34">
        <v>422</v>
      </c>
      <c r="I14" s="34">
        <f>ROUND(Table138958456799101112131445626789101112131415161718192021345[[#This Row],[Target Quantity]],0)</f>
        <v>474</v>
      </c>
      <c r="J14" s="38">
        <f t="shared" si="0"/>
        <v>52</v>
      </c>
      <c r="K14" s="39">
        <f>'Oct 06'!$F14*'Oct 06'!$I14</f>
        <v>1508268</v>
      </c>
      <c r="L14" s="40">
        <f>'Oct 06'!$K14/$K$2</f>
        <v>1.007695463128893E-2</v>
      </c>
      <c r="M14" s="34"/>
    </row>
    <row r="15" spans="1:17" s="44" customFormat="1" ht="12.75" customHeight="1" x14ac:dyDescent="0.25">
      <c r="A15" s="34" t="s">
        <v>162</v>
      </c>
      <c r="B15" s="34" t="s">
        <v>52</v>
      </c>
      <c r="C15" s="34" t="s">
        <v>53</v>
      </c>
      <c r="D15" s="35">
        <v>1.0168999999999999E-2</v>
      </c>
      <c r="E15" s="36">
        <f>'Oct 06'!$D15*$C$6*$C$2</f>
        <v>1507111.1030584481</v>
      </c>
      <c r="F15" s="36">
        <v>195.609975351602</v>
      </c>
      <c r="G15" s="37">
        <f>'Oct 06'!$E15/'Oct 06'!$F15</f>
        <v>7704.6740604586712</v>
      </c>
      <c r="H15" s="34">
        <v>6897</v>
      </c>
      <c r="I15" s="34">
        <f>ROUND(Table138958456799101112131445626789101112131415161718192021345[[#This Row],[Target Quantity]],0)</f>
        <v>7705</v>
      </c>
      <c r="J15" s="38">
        <f t="shared" si="0"/>
        <v>808</v>
      </c>
      <c r="K15" s="39">
        <f>'Oct 06'!$F15*'Oct 06'!$I15</f>
        <v>1507174.8600840934</v>
      </c>
      <c r="L15" s="40">
        <f>'Oct 06'!$K15/$K$2</f>
        <v>1.0069651206872154E-2</v>
      </c>
      <c r="M15" s="34"/>
    </row>
    <row r="16" spans="1:17" s="44" customFormat="1" ht="12.75" customHeight="1" x14ac:dyDescent="0.25">
      <c r="A16" s="34" t="s">
        <v>162</v>
      </c>
      <c r="B16" s="34" t="s">
        <v>165</v>
      </c>
      <c r="C16" s="34" t="s">
        <v>166</v>
      </c>
      <c r="D16" s="35">
        <v>1.0168999999999999E-2</v>
      </c>
      <c r="E16" s="36">
        <f>'Oct 06'!$D16*$C$6*$C$2</f>
        <v>1507111.1030584481</v>
      </c>
      <c r="F16" s="36">
        <v>287.67105263157902</v>
      </c>
      <c r="G16" s="37">
        <f>'Oct 06'!$E16/'Oct 06'!$F16</f>
        <v>5239.0085455995068</v>
      </c>
      <c r="H16" s="34">
        <v>4864</v>
      </c>
      <c r="I16" s="34">
        <f>ROUND(Table138958456799101112131445626789101112131415161718192021345[[#This Row],[Target Quantity]],0)</f>
        <v>5239</v>
      </c>
      <c r="J16" s="38">
        <f t="shared" si="0"/>
        <v>375</v>
      </c>
      <c r="K16" s="39">
        <f>'Oct 06'!$F16*'Oct 06'!$I16</f>
        <v>1507108.6447368425</v>
      </c>
      <c r="L16" s="40">
        <f>'Oct 06'!$K16/$K$2</f>
        <v>1.0069208812649017E-2</v>
      </c>
      <c r="M16" s="34"/>
    </row>
    <row r="17" spans="1:15" s="44" customFormat="1" ht="12.75" customHeight="1" x14ac:dyDescent="0.25">
      <c r="A17" s="34" t="s">
        <v>162</v>
      </c>
      <c r="B17" s="34" t="s">
        <v>43</v>
      </c>
      <c r="C17" s="34" t="s">
        <v>44</v>
      </c>
      <c r="D17" s="35">
        <v>1.0168999999999999E-2</v>
      </c>
      <c r="E17" s="36">
        <f>'Oct 06'!$D17*$C$6*$C$2</f>
        <v>1507111.1030584481</v>
      </c>
      <c r="F17" s="36">
        <v>1090.58009708738</v>
      </c>
      <c r="G17" s="37">
        <f>'Oct 06'!$E17/'Oct 06'!$F17</f>
        <v>1381.9352719561823</v>
      </c>
      <c r="H17" s="34">
        <v>1236</v>
      </c>
      <c r="I17" s="34">
        <f>ROUND(Table138958456799101112131445626789101112131415161718192021345[[#This Row],[Target Quantity]],0)</f>
        <v>1382</v>
      </c>
      <c r="J17" s="38">
        <f t="shared" si="0"/>
        <v>146</v>
      </c>
      <c r="K17" s="39">
        <f>'Oct 06'!$F17*'Oct 06'!$I17</f>
        <v>1507181.6941747591</v>
      </c>
      <c r="L17" s="40">
        <f>'Oct 06'!$K17/$K$2</f>
        <v>1.0069696866411165E-2</v>
      </c>
      <c r="M17" s="34"/>
    </row>
    <row r="18" spans="1:15" s="44" customFormat="1" ht="12.75" customHeight="1" x14ac:dyDescent="0.25">
      <c r="A18" s="34" t="s">
        <v>162</v>
      </c>
      <c r="B18" s="34" t="s">
        <v>167</v>
      </c>
      <c r="C18" s="34" t="s">
        <v>168</v>
      </c>
      <c r="D18" s="35">
        <v>1.0168999999999999E-2</v>
      </c>
      <c r="E18" s="36">
        <f>'Oct 06'!$D18*$C$6*$C$2</f>
        <v>1507111.1030584481</v>
      </c>
      <c r="F18" s="36">
        <v>169.16002498438499</v>
      </c>
      <c r="G18" s="37">
        <f>'Oct 06'!$E18/'Oct 06'!$F18</f>
        <v>8909.3809438581502</v>
      </c>
      <c r="H18" s="34">
        <v>8005</v>
      </c>
      <c r="I18" s="34">
        <f>ROUND(Table138958456799101112131445626789101112131415161718192021345[[#This Row],[Target Quantity]],0)</f>
        <v>8909</v>
      </c>
      <c r="J18" s="38">
        <f t="shared" si="0"/>
        <v>904</v>
      </c>
      <c r="K18" s="39">
        <f>'Oct 06'!$F18*'Oct 06'!$I18</f>
        <v>1507046.662585886</v>
      </c>
      <c r="L18" s="40">
        <f>'Oct 06'!$K18/$K$2</f>
        <v>1.0068794701016907E-2</v>
      </c>
      <c r="M18" s="34"/>
    </row>
    <row r="19" spans="1:15" s="44" customFormat="1" ht="12.75" customHeight="1" x14ac:dyDescent="0.25">
      <c r="A19" s="34" t="s">
        <v>162</v>
      </c>
      <c r="B19" s="34" t="s">
        <v>28</v>
      </c>
      <c r="C19" s="34" t="s">
        <v>29</v>
      </c>
      <c r="D19" s="35">
        <v>1.0168999999999999E-2</v>
      </c>
      <c r="E19" s="36">
        <f>'Oct 06'!$D19*$C$6*$C$2</f>
        <v>1507111.1030584481</v>
      </c>
      <c r="F19" s="36">
        <v>259.21008242284802</v>
      </c>
      <c r="G19" s="37">
        <f>'Oct 06'!$E19/'Oct 06'!$F19</f>
        <v>5814.2456843168075</v>
      </c>
      <c r="H19" s="34">
        <v>5217</v>
      </c>
      <c r="I19" s="34">
        <f>ROUND(Table138958456799101112131445626789101112131415161718192021345[[#This Row],[Target Quantity]],0)</f>
        <v>5814</v>
      </c>
      <c r="J19" s="38">
        <f t="shared" si="0"/>
        <v>597</v>
      </c>
      <c r="K19" s="39">
        <f>'Oct 06'!$F19*'Oct 06'!$I19</f>
        <v>1507047.4192064384</v>
      </c>
      <c r="L19" s="40">
        <f>'Oct 06'!$K19/$K$2</f>
        <v>1.0068799756107236E-2</v>
      </c>
      <c r="M19" s="34"/>
    </row>
    <row r="20" spans="1:15" s="44" customFormat="1" ht="12.75" customHeight="1" x14ac:dyDescent="0.25">
      <c r="A20" s="34" t="s">
        <v>162</v>
      </c>
      <c r="B20" s="34" t="s">
        <v>169</v>
      </c>
      <c r="C20" s="34" t="s">
        <v>170</v>
      </c>
      <c r="D20" s="35">
        <v>1.0168999999999999E-2</v>
      </c>
      <c r="E20" s="36">
        <f>'Oct 06'!$D20*$C$6*$C$2</f>
        <v>1507111.1030584481</v>
      </c>
      <c r="F20" s="36">
        <v>202.480063795853</v>
      </c>
      <c r="G20" s="37">
        <f>'Oct 06'!$E20/'Oct 06'!$F20</f>
        <v>7443.2567572576754</v>
      </c>
      <c r="H20" s="34">
        <v>6897</v>
      </c>
      <c r="I20" s="34">
        <f>ROUND(Table138958456799101112131445626789101112131415161718192021345[[#This Row],[Target Quantity]],0)</f>
        <v>7443</v>
      </c>
      <c r="J20" s="38">
        <f t="shared" si="0"/>
        <v>546</v>
      </c>
      <c r="K20" s="39">
        <f>'Oct 06'!$F20*'Oct 06'!$I20</f>
        <v>1507059.1148325338</v>
      </c>
      <c r="L20" s="40">
        <f>'Oct 06'!$K20/$K$2</f>
        <v>1.0068877896261073E-2</v>
      </c>
      <c r="M20" s="34"/>
    </row>
    <row r="21" spans="1:15" s="44" customFormat="1" ht="12.75" customHeight="1" x14ac:dyDescent="0.25">
      <c r="A21" s="34" t="s">
        <v>162</v>
      </c>
      <c r="B21" s="34" t="s">
        <v>173</v>
      </c>
      <c r="C21" s="34" t="s">
        <v>174</v>
      </c>
      <c r="D21" s="35">
        <v>1.0168999999999999E-2</v>
      </c>
      <c r="E21" s="36">
        <f>'Oct 06'!$D21*$C$6*$C$2</f>
        <v>1507111.1030584481</v>
      </c>
      <c r="F21" s="36">
        <v>85.7000248941997</v>
      </c>
      <c r="G21" s="37">
        <f>'Oct 06'!$E21/'Oct 06'!$F21</f>
        <v>17585.888742961746</v>
      </c>
      <c r="H21" s="34">
        <v>16068</v>
      </c>
      <c r="I21" s="34">
        <f>ROUND(Table138958456799101112131445626789101112131415161718192021345[[#This Row],[Target Quantity]],0)</f>
        <v>17586</v>
      </c>
      <c r="J21" s="38">
        <f t="shared" si="0"/>
        <v>1518</v>
      </c>
      <c r="K21" s="39">
        <f>'Oct 06'!$F21*'Oct 06'!$I21</f>
        <v>1507120.6377893959</v>
      </c>
      <c r="L21" s="40">
        <f>'Oct 06'!$K21/$K$2</f>
        <v>1.0069288939951638E-2</v>
      </c>
      <c r="M21" s="34"/>
    </row>
    <row r="22" spans="1:15" s="44" customFormat="1" ht="12.75" customHeight="1" x14ac:dyDescent="0.25">
      <c r="A22" s="34" t="s">
        <v>162</v>
      </c>
      <c r="B22" s="34" t="s">
        <v>19</v>
      </c>
      <c r="C22" s="34" t="s">
        <v>20</v>
      </c>
      <c r="D22" s="35">
        <v>1.0168999999999999E-2</v>
      </c>
      <c r="E22" s="36">
        <f>'Oct 06'!$D22*$C$6*$C$2</f>
        <v>1507111.1030584481</v>
      </c>
      <c r="F22" s="36">
        <v>1253.0103578154401</v>
      </c>
      <c r="G22" s="37">
        <f>'Oct 06'!$E22/'Oct 06'!$F22</f>
        <v>1202.7922144921608</v>
      </c>
      <c r="H22" s="34">
        <v>1062</v>
      </c>
      <c r="I22" s="34">
        <f>ROUND(Table138958456799101112131445626789101112131415161718192021345[[#This Row],[Target Quantity]],0)</f>
        <v>1203</v>
      </c>
      <c r="J22" s="38">
        <f t="shared" si="0"/>
        <v>141</v>
      </c>
      <c r="K22" s="39">
        <f>'Oct 06'!$F22*'Oct 06'!$I22</f>
        <v>1507371.4604519745</v>
      </c>
      <c r="L22" s="40">
        <f>'Oct 06'!$K22/$K$2</f>
        <v>1.0070964722101299E-2</v>
      </c>
      <c r="M22" s="34"/>
    </row>
    <row r="23" spans="1:15" s="44" customFormat="1" ht="12.75" customHeight="1" x14ac:dyDescent="0.25">
      <c r="A23" s="34"/>
      <c r="B23" s="34"/>
      <c r="C23" s="34"/>
      <c r="D23" s="35"/>
      <c r="E23" s="36"/>
      <c r="F23" s="36"/>
      <c r="G23" s="37"/>
      <c r="H23" s="34"/>
      <c r="I23" s="34"/>
      <c r="J23" s="45"/>
      <c r="K23" s="36"/>
      <c r="L23" s="46"/>
      <c r="M23" s="34"/>
    </row>
    <row r="24" spans="1:15" s="53" customFormat="1" ht="12.75" customHeight="1" x14ac:dyDescent="0.25">
      <c r="A24" s="47" t="s">
        <v>175</v>
      </c>
      <c r="B24" s="47"/>
      <c r="C24" s="47"/>
      <c r="D24" s="48">
        <f>SUM(D9:D23)</f>
        <v>0.14236589999999999</v>
      </c>
      <c r="E24" s="49">
        <f>'Oct 06'!$D24*$C$6*$C$2</f>
        <v>21099540.622176092</v>
      </c>
      <c r="F24" s="50"/>
      <c r="G24" s="50"/>
      <c r="H24" s="47"/>
      <c r="I24" s="47"/>
      <c r="J24" s="51"/>
      <c r="K24" s="49">
        <f>SUM(K9:K23)</f>
        <v>21100701.168464478</v>
      </c>
      <c r="L24" s="52">
        <f>'Oct 06'!$K24/$K$2</f>
        <v>0.14097680807588694</v>
      </c>
      <c r="M24" s="47"/>
    </row>
    <row r="25" spans="1:15" s="44" customFormat="1" ht="12.75" customHeight="1" x14ac:dyDescent="0.25">
      <c r="A25" s="34"/>
      <c r="B25" s="34"/>
      <c r="C25" s="34"/>
      <c r="D25" s="35"/>
      <c r="E25" s="36"/>
      <c r="F25" s="36"/>
      <c r="G25" s="37"/>
      <c r="H25" s="34"/>
      <c r="I25" s="34"/>
      <c r="J25" s="45"/>
      <c r="K25" s="36"/>
      <c r="L25" s="40"/>
      <c r="M25" s="34"/>
    </row>
    <row r="26" spans="1:15" s="43" customFormat="1" ht="12.75" customHeight="1" x14ac:dyDescent="0.25">
      <c r="A26" s="54"/>
      <c r="B26" s="47" t="s">
        <v>34</v>
      </c>
      <c r="C26" s="54" t="s">
        <v>35</v>
      </c>
      <c r="D26" s="55">
        <v>2.4545000000000001E-2</v>
      </c>
      <c r="E26" s="56">
        <f>'Oct 06'!$D26*$C$6*$C$2</f>
        <v>3637726.6225361004</v>
      </c>
      <c r="F26" s="50">
        <v>18.1899982705037</v>
      </c>
      <c r="G26" s="57">
        <f>'Oct 06'!$E26/'Oct 06'!$F26</f>
        <v>199984.99001700938</v>
      </c>
      <c r="H26" s="54">
        <v>190807</v>
      </c>
      <c r="I26" s="54">
        <v>199985</v>
      </c>
      <c r="J26" s="58">
        <f>I26-H26</f>
        <v>9178</v>
      </c>
      <c r="K26" s="59">
        <f>'Oct 06'!$F26*'Oct 06'!$I26</f>
        <v>3637726.8041266827</v>
      </c>
      <c r="L26" s="52">
        <f>'Oct 06'!$K26/$K$2</f>
        <v>2.4304174036847731E-2</v>
      </c>
      <c r="M26" s="47"/>
      <c r="O26" s="42"/>
    </row>
    <row r="27" spans="1:15" s="43" customFormat="1" ht="12.75" customHeight="1" x14ac:dyDescent="0.25">
      <c r="A27" s="34"/>
      <c r="B27" s="34"/>
      <c r="C27" s="34"/>
      <c r="D27" s="35"/>
      <c r="E27" s="36"/>
      <c r="F27" s="36"/>
      <c r="G27" s="37"/>
      <c r="H27" s="34"/>
      <c r="I27" s="34"/>
      <c r="J27" s="45"/>
      <c r="K27" s="39"/>
      <c r="L27" s="40"/>
      <c r="M27" s="34"/>
      <c r="O27" s="42"/>
    </row>
    <row r="28" spans="1:15" s="2" customFormat="1" ht="25.5" x14ac:dyDescent="0.2">
      <c r="A28" s="34" t="s">
        <v>176</v>
      </c>
      <c r="B28" s="60" t="s">
        <v>109</v>
      </c>
      <c r="C28" s="61" t="s">
        <v>110</v>
      </c>
      <c r="D28" s="35">
        <v>2.6180999999999999E-2</v>
      </c>
      <c r="E28" s="36">
        <f>'Oct 06'!$D28*$C$6*$C$2</f>
        <v>3880192.3285645815</v>
      </c>
      <c r="F28" s="36">
        <v>158744.51724137901</v>
      </c>
      <c r="G28" s="37">
        <f>'Oct 06'!$E28/'Oct 06'!$F28</f>
        <v>24.443000589838036</v>
      </c>
      <c r="H28" s="34">
        <v>29</v>
      </c>
      <c r="I28" s="34">
        <v>24</v>
      </c>
      <c r="J28" s="38">
        <f t="shared" ref="J28:J39" si="1">I28-H28</f>
        <v>-5</v>
      </c>
      <c r="K28" s="39">
        <f>'Oct 06'!$F28*'Oct 06'!$I28</f>
        <v>3809868.4137930963</v>
      </c>
      <c r="L28" s="40">
        <f>'Oct 06'!$K28/$K$2</f>
        <v>2.5454276797607422E-2</v>
      </c>
      <c r="M28" s="62"/>
    </row>
    <row r="29" spans="1:15" s="2" customFormat="1" ht="25.5" x14ac:dyDescent="0.2">
      <c r="A29" s="34" t="s">
        <v>176</v>
      </c>
      <c r="B29" s="60" t="s">
        <v>115</v>
      </c>
      <c r="C29" s="61" t="s">
        <v>116</v>
      </c>
      <c r="D29" s="35">
        <v>2.6180999999999999E-2</v>
      </c>
      <c r="E29" s="36">
        <f>'Oct 06'!$D29*$C$6*$C$2</f>
        <v>3880192.3285645815</v>
      </c>
      <c r="F29" s="36">
        <v>217113.714285714</v>
      </c>
      <c r="G29" s="37">
        <f>'Oct 06'!$E29/'Oct 06'!$F29</f>
        <v>17.871705347265099</v>
      </c>
      <c r="H29" s="34">
        <v>21</v>
      </c>
      <c r="I29" s="34">
        <v>18</v>
      </c>
      <c r="J29" s="38">
        <f t="shared" si="1"/>
        <v>-3</v>
      </c>
      <c r="K29" s="39">
        <f>'Oct 06'!$F29*'Oct 06'!$I29</f>
        <v>3908046.8571428522</v>
      </c>
      <c r="L29" s="40">
        <f>'Oct 06'!$K29/$K$2</f>
        <v>2.6110221045848491E-2</v>
      </c>
      <c r="M29" s="62"/>
    </row>
    <row r="30" spans="1:15" s="2" customFormat="1" ht="25.5" x14ac:dyDescent="0.2">
      <c r="A30" s="34" t="s">
        <v>176</v>
      </c>
      <c r="B30" s="60" t="s">
        <v>121</v>
      </c>
      <c r="C30" s="61" t="s">
        <v>122</v>
      </c>
      <c r="D30" s="35">
        <v>2.6180999999999999E-2</v>
      </c>
      <c r="E30" s="36">
        <f>'Oct 06'!$D30*$C$6*$C$2</f>
        <v>3880192.3285645815</v>
      </c>
      <c r="F30" s="36">
        <v>174230.115384615</v>
      </c>
      <c r="G30" s="37">
        <f>'Oct 06'!$E30/'Oct 06'!$F30</f>
        <v>22.270503121684857</v>
      </c>
      <c r="H30" s="34">
        <v>26</v>
      </c>
      <c r="I30" s="34">
        <v>22</v>
      </c>
      <c r="J30" s="38">
        <f t="shared" si="1"/>
        <v>-4</v>
      </c>
      <c r="K30" s="39">
        <f>'Oct 06'!$F30*'Oct 06'!$I30</f>
        <v>3833062.5384615301</v>
      </c>
      <c r="L30" s="40">
        <f>'Oct 06'!$K30/$K$2</f>
        <v>2.560924006805821E-2</v>
      </c>
      <c r="M30" s="62"/>
    </row>
    <row r="31" spans="1:15" s="2" customFormat="1" ht="25.5" x14ac:dyDescent="0.2">
      <c r="A31" s="34" t="s">
        <v>176</v>
      </c>
      <c r="B31" s="60" t="s">
        <v>124</v>
      </c>
      <c r="C31" s="61" t="s">
        <v>125</v>
      </c>
      <c r="D31" s="35">
        <v>2.6180999999999999E-2</v>
      </c>
      <c r="E31" s="36">
        <f>'Oct 06'!$D31*$C$6*$C$2</f>
        <v>3880192.3285645815</v>
      </c>
      <c r="F31" s="36">
        <v>125792.08333333299</v>
      </c>
      <c r="G31" s="37">
        <f>'Oct 06'!$E31/'Oct 06'!$F31</f>
        <v>30.8460773185747</v>
      </c>
      <c r="H31" s="34">
        <v>36</v>
      </c>
      <c r="I31" s="34">
        <v>31</v>
      </c>
      <c r="J31" s="38">
        <f t="shared" si="1"/>
        <v>-5</v>
      </c>
      <c r="K31" s="39">
        <f>'Oct 06'!$F31*'Oct 06'!$I31</f>
        <v>3899554.5833333228</v>
      </c>
      <c r="L31" s="40">
        <f>'Oct 06'!$K31/$K$2</f>
        <v>2.6053482947649025E-2</v>
      </c>
      <c r="M31" s="62"/>
    </row>
    <row r="32" spans="1:15" s="2" customFormat="1" ht="25.5" x14ac:dyDescent="0.2">
      <c r="A32" s="34" t="s">
        <v>176</v>
      </c>
      <c r="B32" s="60" t="s">
        <v>127</v>
      </c>
      <c r="C32" s="61" t="s">
        <v>128</v>
      </c>
      <c r="D32" s="35">
        <v>2.6180999999999999E-2</v>
      </c>
      <c r="E32" s="36">
        <f>'Oct 06'!$D32*$C$6*$C$2</f>
        <v>3880192.3285645815</v>
      </c>
      <c r="F32" s="36">
        <v>138947.06060606099</v>
      </c>
      <c r="G32" s="37">
        <f>'Oct 06'!$E32/'Oct 06'!$F32</f>
        <v>27.925688471853316</v>
      </c>
      <c r="H32" s="34">
        <v>33</v>
      </c>
      <c r="I32" s="34">
        <v>28</v>
      </c>
      <c r="J32" s="38">
        <f t="shared" si="1"/>
        <v>-5</v>
      </c>
      <c r="K32" s="39">
        <f>'Oct 06'!$F32*'Oct 06'!$I32</f>
        <v>3890517.6969697075</v>
      </c>
      <c r="L32" s="40">
        <f>'Oct 06'!$K32/$K$2</f>
        <v>2.5993106214936893E-2</v>
      </c>
      <c r="M32" s="62"/>
    </row>
    <row r="33" spans="1:15" s="2" customFormat="1" ht="25.5" x14ac:dyDescent="0.2">
      <c r="A33" s="34" t="s">
        <v>176</v>
      </c>
      <c r="B33" s="60" t="s">
        <v>135</v>
      </c>
      <c r="C33" s="61" t="s">
        <v>136</v>
      </c>
      <c r="D33" s="35">
        <v>2.6180999999999999E-2</v>
      </c>
      <c r="E33" s="36">
        <f>'Oct 06'!$D33*$C$6*$C$2</f>
        <v>3880192.3285645815</v>
      </c>
      <c r="F33" s="36">
        <v>220870.14285714299</v>
      </c>
      <c r="G33" s="37">
        <f>'Oct 06'!$E33/'Oct 06'!$F33</f>
        <v>17.567753967879028</v>
      </c>
      <c r="H33" s="34">
        <v>21</v>
      </c>
      <c r="I33" s="34">
        <v>18</v>
      </c>
      <c r="J33" s="38">
        <f t="shared" si="1"/>
        <v>-3</v>
      </c>
      <c r="K33" s="39">
        <f>'Oct 06'!$F33*'Oct 06'!$I33</f>
        <v>3975662.5714285737</v>
      </c>
      <c r="L33" s="40">
        <f>'Oct 06'!$K33/$K$2</f>
        <v>2.6561971321807015E-2</v>
      </c>
      <c r="M33" s="62"/>
    </row>
    <row r="34" spans="1:15" s="43" customFormat="1" ht="25.5" customHeight="1" x14ac:dyDescent="0.25">
      <c r="A34" s="34" t="s">
        <v>177</v>
      </c>
      <c r="B34" s="34" t="s">
        <v>178</v>
      </c>
      <c r="C34" s="34" t="s">
        <v>179</v>
      </c>
      <c r="D34" s="35">
        <v>2.6180999999999999E-2</v>
      </c>
      <c r="E34" s="36">
        <f>'Oct 06'!$D34*$C$6*$C$2</f>
        <v>3880192.3285645815</v>
      </c>
      <c r="F34" s="36">
        <v>96170.553191489395</v>
      </c>
      <c r="G34" s="37">
        <f>'Oct 06'!$E34/'Oct 06'!$F34</f>
        <v>40.346989798827096</v>
      </c>
      <c r="H34" s="34">
        <v>47</v>
      </c>
      <c r="I34" s="34">
        <v>40</v>
      </c>
      <c r="J34" s="38">
        <f t="shared" si="1"/>
        <v>-7</v>
      </c>
      <c r="K34" s="39">
        <f>'Oct 06'!$F34*'Oct 06'!$I34</f>
        <v>3846822.127659576</v>
      </c>
      <c r="L34" s="40">
        <f>'Oct 06'!$K34/$K$2</f>
        <v>2.5701169855134431E-2</v>
      </c>
      <c r="M34" s="41"/>
      <c r="O34" s="42"/>
    </row>
    <row r="35" spans="1:15" s="43" customFormat="1" ht="25.5" customHeight="1" x14ac:dyDescent="0.25">
      <c r="A35" s="34" t="s">
        <v>177</v>
      </c>
      <c r="B35" s="34" t="s">
        <v>76</v>
      </c>
      <c r="C35" s="34" t="s">
        <v>77</v>
      </c>
      <c r="D35" s="35">
        <v>2.6180999999999999E-2</v>
      </c>
      <c r="E35" s="36">
        <f>'Oct 06'!$D35*$C$6*$C$2</f>
        <v>3880192.3285645815</v>
      </c>
      <c r="F35" s="36">
        <v>114255.77499999999</v>
      </c>
      <c r="G35" s="37">
        <f>'Oct 06'!$E35/'Oct 06'!$F35</f>
        <v>33.960579485497178</v>
      </c>
      <c r="H35" s="34">
        <v>40</v>
      </c>
      <c r="I35" s="34">
        <v>34</v>
      </c>
      <c r="J35" s="38">
        <f t="shared" si="1"/>
        <v>-6</v>
      </c>
      <c r="K35" s="39">
        <f>'Oct 06'!$F35*'Oct 06'!$I35</f>
        <v>3884696.3499999996</v>
      </c>
      <c r="L35" s="40">
        <f>'Oct 06'!$K35/$K$2</f>
        <v>2.5954212961677697E-2</v>
      </c>
      <c r="M35" s="41"/>
    </row>
    <row r="36" spans="1:15" s="43" customFormat="1" ht="25.5" customHeight="1" x14ac:dyDescent="0.25">
      <c r="A36" s="34" t="s">
        <v>177</v>
      </c>
      <c r="B36" s="34" t="s">
        <v>180</v>
      </c>
      <c r="C36" s="34" t="s">
        <v>181</v>
      </c>
      <c r="D36" s="35">
        <v>2.6180999999999999E-2</v>
      </c>
      <c r="E36" s="36">
        <f>'Oct 06'!$D36*$C$6*$C$2</f>
        <v>3880192.3285645815</v>
      </c>
      <c r="F36" s="36">
        <v>113404.75</v>
      </c>
      <c r="G36" s="37">
        <f>'Oct 06'!$E36/'Oct 06'!$F36</f>
        <v>34.215430381572034</v>
      </c>
      <c r="H36" s="34">
        <v>40</v>
      </c>
      <c r="I36" s="34">
        <v>34</v>
      </c>
      <c r="J36" s="38">
        <f t="shared" si="1"/>
        <v>-6</v>
      </c>
      <c r="K36" s="39">
        <f>'Oct 06'!$F36*'Oct 06'!$I36</f>
        <v>3855761.5</v>
      </c>
      <c r="L36" s="40">
        <f>'Oct 06'!$K36/$K$2</f>
        <v>2.5760895082684612E-2</v>
      </c>
      <c r="M36" s="41"/>
    </row>
    <row r="37" spans="1:15" s="43" customFormat="1" ht="25.5" x14ac:dyDescent="0.25">
      <c r="A37" s="34" t="s">
        <v>177</v>
      </c>
      <c r="B37" s="34" t="s">
        <v>71</v>
      </c>
      <c r="C37" s="34" t="s">
        <v>72</v>
      </c>
      <c r="D37" s="35">
        <v>2.6180999999999999E-2</v>
      </c>
      <c r="E37" s="36">
        <f>'Oct 06'!$D37*$C$6*$C$2</f>
        <v>3880192.3285645815</v>
      </c>
      <c r="F37" s="36">
        <v>133569.617647059</v>
      </c>
      <c r="G37" s="37">
        <f>'Oct 06'!$E37/'Oct 06'!$F37</f>
        <v>29.049962086569</v>
      </c>
      <c r="H37" s="34">
        <v>34</v>
      </c>
      <c r="I37" s="34">
        <v>29</v>
      </c>
      <c r="J37" s="38">
        <f t="shared" si="1"/>
        <v>-5</v>
      </c>
      <c r="K37" s="39">
        <f>'Oct 06'!$F37*'Oct 06'!$I37</f>
        <v>3873518.9117647111</v>
      </c>
      <c r="L37" s="40">
        <f>'Oct 06'!$K37/$K$2</f>
        <v>2.5879534895186174E-2</v>
      </c>
      <c r="M37" s="41"/>
    </row>
    <row r="38" spans="1:15" s="43" customFormat="1" ht="25.5" x14ac:dyDescent="0.25">
      <c r="A38" s="34" t="s">
        <v>177</v>
      </c>
      <c r="B38" s="34" t="s">
        <v>67</v>
      </c>
      <c r="C38" s="34" t="s">
        <v>68</v>
      </c>
      <c r="D38" s="35">
        <v>2.6180999999999999E-2</v>
      </c>
      <c r="E38" s="36">
        <f>'Oct 06'!$D38*$C$6*$C$2</f>
        <v>3880192.3285645815</v>
      </c>
      <c r="F38" s="36">
        <v>174744.948474965</v>
      </c>
      <c r="G38" s="37">
        <f>'Oct 06'!$E38/'Oct 06'!$F38</f>
        <v>22.204889826159871</v>
      </c>
      <c r="H38" s="34">
        <v>0</v>
      </c>
      <c r="I38" s="34">
        <v>22</v>
      </c>
      <c r="J38" s="38">
        <f t="shared" si="1"/>
        <v>22</v>
      </c>
      <c r="K38" s="39">
        <f>'Oct 06'!$F38*'Oct 06'!$I38</f>
        <v>3844388.8664492299</v>
      </c>
      <c r="L38" s="40">
        <f>'Oct 06'!$K38/$K$2</f>
        <v>2.5684912888320355E-2</v>
      </c>
      <c r="M38" s="41"/>
    </row>
    <row r="39" spans="1:15" s="43" customFormat="1" ht="25.5" x14ac:dyDescent="0.25">
      <c r="A39" s="34" t="s">
        <v>177</v>
      </c>
      <c r="B39" s="34" t="s">
        <v>80</v>
      </c>
      <c r="C39" s="34" t="s">
        <v>81</v>
      </c>
      <c r="D39" s="35">
        <v>2.6180999999999999E-2</v>
      </c>
      <c r="E39" s="36">
        <f>'Oct 06'!$D39*$C$6*$C$2</f>
        <v>3880192.3285645815</v>
      </c>
      <c r="F39" s="36">
        <v>261887.82049593501</v>
      </c>
      <c r="G39" s="37">
        <f>'Oct 06'!$E39/'Oct 06'!$F39</f>
        <v>14.816238193959116</v>
      </c>
      <c r="H39" s="34">
        <v>0</v>
      </c>
      <c r="I39" s="34">
        <v>15</v>
      </c>
      <c r="J39" s="38">
        <f t="shared" si="1"/>
        <v>15</v>
      </c>
      <c r="K39" s="39">
        <f>'Oct 06'!$F39*'Oct 06'!$I39</f>
        <v>3928317.307439025</v>
      </c>
      <c r="L39" s="40">
        <f>'Oct 06'!$K39/$K$2</f>
        <v>2.6245650828877986E-2</v>
      </c>
      <c r="M39" s="41"/>
    </row>
    <row r="40" spans="1:15" s="64" customFormat="1" ht="12.75" x14ac:dyDescent="0.2">
      <c r="A40" s="34"/>
      <c r="B40" s="61"/>
      <c r="C40" s="61"/>
      <c r="D40" s="35"/>
      <c r="E40" s="63"/>
      <c r="F40" s="36"/>
      <c r="G40" s="37"/>
      <c r="H40" s="34"/>
      <c r="I40" s="34"/>
      <c r="J40" s="45"/>
      <c r="K40" s="36"/>
      <c r="L40" s="46"/>
      <c r="M40" s="62"/>
    </row>
    <row r="41" spans="1:15" s="15" customFormat="1" ht="12.75" x14ac:dyDescent="0.2">
      <c r="A41" s="47" t="s">
        <v>182</v>
      </c>
      <c r="B41" s="65"/>
      <c r="C41" s="65"/>
      <c r="D41" s="55">
        <f>SUBTOTAL(9,D28:D40)</f>
        <v>0.31417200000000006</v>
      </c>
      <c r="E41" s="66">
        <f>'Oct 06'!$D41*$C$6*$C$2</f>
        <v>46562307.942774989</v>
      </c>
      <c r="F41" s="67"/>
      <c r="G41" s="68"/>
      <c r="H41" s="54"/>
      <c r="I41" s="54"/>
      <c r="J41" s="58"/>
      <c r="K41" s="66">
        <f>SUM(K28:K40)</f>
        <v>46550217.724441625</v>
      </c>
      <c r="L41" s="69">
        <f>'Oct 06'!$K41/$K$2</f>
        <v>0.31100867490778833</v>
      </c>
      <c r="M41" s="70"/>
    </row>
    <row r="42" spans="1:15" s="64" customFormat="1" ht="12.75" x14ac:dyDescent="0.2">
      <c r="A42" s="34"/>
      <c r="B42" s="61"/>
      <c r="C42" s="61"/>
      <c r="D42" s="35"/>
      <c r="E42" s="63"/>
      <c r="F42" s="36"/>
      <c r="G42" s="37"/>
      <c r="H42" s="34"/>
      <c r="I42" s="34"/>
      <c r="J42" s="45"/>
      <c r="K42" s="36"/>
      <c r="L42" s="40"/>
      <c r="M42" s="62"/>
    </row>
    <row r="43" spans="1:15" s="2" customFormat="1" ht="24.75" customHeight="1" x14ac:dyDescent="0.2">
      <c r="A43" s="34" t="s">
        <v>176</v>
      </c>
      <c r="B43" s="61" t="s">
        <v>183</v>
      </c>
      <c r="C43" s="61" t="s">
        <v>131</v>
      </c>
      <c r="D43" s="35">
        <v>7.1429000000000006E-2</v>
      </c>
      <c r="E43" s="36">
        <f>'Oct 06'!$D43*$C$6*$C$2</f>
        <v>10586236.501166476</v>
      </c>
      <c r="F43" s="36">
        <v>416351.23076923098</v>
      </c>
      <c r="G43" s="37">
        <f>'Oct 06'!$E43/'Oct 06'!$F43</f>
        <v>25.426216422148777</v>
      </c>
      <c r="H43" s="34">
        <v>26</v>
      </c>
      <c r="I43" s="34">
        <v>26</v>
      </c>
      <c r="J43" s="38">
        <f t="shared" ref="J43:J49" si="2">I43-H43</f>
        <v>0</v>
      </c>
      <c r="K43" s="39">
        <f>'Oct 06'!$F43*'Oct 06'!$I43</f>
        <v>10825132.000000006</v>
      </c>
      <c r="L43" s="40">
        <f>'Oct 06'!$K43/$K$2</f>
        <v>7.2324258050766879E-2</v>
      </c>
      <c r="M43" s="62"/>
    </row>
    <row r="44" spans="1:15" s="43" customFormat="1" ht="25.5" x14ac:dyDescent="0.25">
      <c r="A44" s="34" t="s">
        <v>177</v>
      </c>
      <c r="B44" s="34" t="s">
        <v>82</v>
      </c>
      <c r="C44" s="34" t="s">
        <v>83</v>
      </c>
      <c r="D44" s="35">
        <v>7.1429000000000006E-2</v>
      </c>
      <c r="E44" s="36">
        <f>'Oct 06'!$D44*$C$6*$C$2</f>
        <v>10586236.501166476</v>
      </c>
      <c r="F44" s="36">
        <v>249406.23255814001</v>
      </c>
      <c r="G44" s="37">
        <f>'Oct 06'!$E44/'Oct 06'!$F44</f>
        <v>42.445757640393687</v>
      </c>
      <c r="H44" s="34">
        <v>43</v>
      </c>
      <c r="I44" s="34">
        <v>43</v>
      </c>
      <c r="J44" s="38">
        <f t="shared" si="2"/>
        <v>0</v>
      </c>
      <c r="K44" s="39">
        <f>'Oct 06'!$F44*'Oct 06'!$I44</f>
        <v>10724468.00000002</v>
      </c>
      <c r="L44" s="40">
        <f>'Oct 06'!$K44/$K$2</f>
        <v>7.1651707442384333E-2</v>
      </c>
      <c r="M44" s="41"/>
    </row>
    <row r="45" spans="1:15" s="43" customFormat="1" ht="25.5" x14ac:dyDescent="0.25">
      <c r="A45" s="34" t="s">
        <v>177</v>
      </c>
      <c r="B45" s="34" t="s">
        <v>184</v>
      </c>
      <c r="C45" s="34" t="s">
        <v>105</v>
      </c>
      <c r="D45" s="35">
        <v>7.1429000000000006E-2</v>
      </c>
      <c r="E45" s="36">
        <f>'Oct 06'!$D45*$C$6*$C$2</f>
        <v>10586236.501166476</v>
      </c>
      <c r="F45" s="36">
        <v>416364.19230769202</v>
      </c>
      <c r="G45" s="37">
        <f>'Oct 06'!$E45/'Oct 06'!$F45</f>
        <v>25.425424896632983</v>
      </c>
      <c r="H45" s="34">
        <v>26</v>
      </c>
      <c r="I45" s="34">
        <v>26</v>
      </c>
      <c r="J45" s="38">
        <f t="shared" si="2"/>
        <v>0</v>
      </c>
      <c r="K45" s="39">
        <f>'Oct 06'!$F45*'Oct 06'!$I45</f>
        <v>10825468.999999993</v>
      </c>
      <c r="L45" s="40">
        <f>'Oct 06'!$K45/$K$2</f>
        <v>7.2326509596056313E-2</v>
      </c>
      <c r="M45" s="41"/>
    </row>
    <row r="46" spans="1:15" s="43" customFormat="1" ht="25.5" x14ac:dyDescent="0.25">
      <c r="A46" s="34" t="s">
        <v>177</v>
      </c>
      <c r="B46" s="34" t="s">
        <v>107</v>
      </c>
      <c r="C46" s="34" t="s">
        <v>108</v>
      </c>
      <c r="D46" s="35">
        <v>7.1429000000000006E-2</v>
      </c>
      <c r="E46" s="36">
        <f>'Oct 06'!$D46*$C$6*$C$2</f>
        <v>10586236.501166476</v>
      </c>
      <c r="F46" s="36">
        <v>249823.13953488399</v>
      </c>
      <c r="G46" s="37">
        <f>'Oct 06'!$E46/'Oct 06'!$F46</f>
        <v>42.374923799595713</v>
      </c>
      <c r="H46" s="34">
        <v>43</v>
      </c>
      <c r="I46" s="34">
        <v>43</v>
      </c>
      <c r="J46" s="38">
        <f t="shared" si="2"/>
        <v>0</v>
      </c>
      <c r="K46" s="39">
        <f>'Oct 06'!$F46*'Oct 06'!$I46</f>
        <v>10742395.000000011</v>
      </c>
      <c r="L46" s="40">
        <f>'Oct 06'!$K46/$K$2</f>
        <v>7.1771480298186502E-2</v>
      </c>
      <c r="M46" s="41"/>
    </row>
    <row r="47" spans="1:15" s="43" customFormat="1" ht="25.5" x14ac:dyDescent="0.25">
      <c r="A47" s="34" t="s">
        <v>177</v>
      </c>
      <c r="B47" s="34" t="s">
        <v>185</v>
      </c>
      <c r="C47" s="34" t="s">
        <v>86</v>
      </c>
      <c r="D47" s="35">
        <v>7.1429000000000006E-2</v>
      </c>
      <c r="E47" s="36">
        <f>'Oct 06'!$D47*$C$6*$C$2</f>
        <v>10586236.501166476</v>
      </c>
      <c r="F47" s="36">
        <v>162429.37313432799</v>
      </c>
      <c r="G47" s="37">
        <f>'Oct 06'!$E47/'Oct 06'!$F47</f>
        <v>65.174397320438644</v>
      </c>
      <c r="H47" s="34">
        <v>67</v>
      </c>
      <c r="I47" s="34">
        <v>67</v>
      </c>
      <c r="J47" s="38">
        <f t="shared" si="2"/>
        <v>0</v>
      </c>
      <c r="K47" s="39">
        <f>'Oct 06'!$F47*'Oct 06'!$I47</f>
        <v>10882767.999999976</v>
      </c>
      <c r="L47" s="40">
        <f>'Oct 06'!$K47/$K$2</f>
        <v>7.2709332425565432E-2</v>
      </c>
      <c r="M47" s="41"/>
    </row>
    <row r="48" spans="1:15" s="43" customFormat="1" ht="25.5" x14ac:dyDescent="0.25">
      <c r="A48" s="34" t="s">
        <v>177</v>
      </c>
      <c r="B48" s="34" t="s">
        <v>186</v>
      </c>
      <c r="C48" s="34" t="s">
        <v>187</v>
      </c>
      <c r="D48" s="35">
        <v>7.1429000000000006E-2</v>
      </c>
      <c r="E48" s="36">
        <f>'Oct 06'!$D48*$C$6*$C$2</f>
        <v>10586236.501166476</v>
      </c>
      <c r="F48" s="36">
        <v>176355.98360655701</v>
      </c>
      <c r="G48" s="37">
        <f>'Oct 06'!$E48/'Oct 06'!$F48</f>
        <v>60.027657041588881</v>
      </c>
      <c r="H48" s="34">
        <v>61</v>
      </c>
      <c r="I48" s="34">
        <v>61</v>
      </c>
      <c r="J48" s="38">
        <f t="shared" si="2"/>
        <v>0</v>
      </c>
      <c r="K48" s="39">
        <f>'Oct 06'!$F48*'Oct 06'!$I48</f>
        <v>10757714.999999978</v>
      </c>
      <c r="L48" s="40">
        <f>'Oct 06'!$K48/$K$2</f>
        <v>7.1873835413425305E-2</v>
      </c>
      <c r="M48" s="41"/>
    </row>
    <row r="49" spans="1:16" s="43" customFormat="1" ht="25.5" x14ac:dyDescent="0.25">
      <c r="A49" s="34" t="s">
        <v>177</v>
      </c>
      <c r="B49" s="34" t="s">
        <v>188</v>
      </c>
      <c r="C49" s="34" t="s">
        <v>189</v>
      </c>
      <c r="D49" s="35">
        <v>7.1429000000000006E-2</v>
      </c>
      <c r="E49" s="36">
        <f>'Oct 06'!$D49*$C$6*$C$2</f>
        <v>10586236.501166476</v>
      </c>
      <c r="F49" s="36">
        <v>715934.66666666698</v>
      </c>
      <c r="G49" s="37">
        <f>'Oct 06'!$E49/'Oct 06'!$F49</f>
        <v>14.786595752452</v>
      </c>
      <c r="H49" s="34">
        <v>15</v>
      </c>
      <c r="I49" s="34">
        <v>15</v>
      </c>
      <c r="J49" s="38">
        <f t="shared" si="2"/>
        <v>0</v>
      </c>
      <c r="K49" s="39">
        <f>'Oct 06'!$F49*'Oct 06'!$I49</f>
        <v>10739020.000000004</v>
      </c>
      <c r="L49" s="40">
        <f>'Oct 06'!$K49/$K$2</f>
        <v>7.1748931439574726E-2</v>
      </c>
      <c r="M49" s="41"/>
    </row>
    <row r="50" spans="1:16" s="44" customFormat="1" ht="12.75" x14ac:dyDescent="0.25">
      <c r="A50" s="34"/>
      <c r="B50" s="34"/>
      <c r="C50" s="34"/>
      <c r="D50" s="35"/>
      <c r="E50" s="36"/>
      <c r="F50" s="36"/>
      <c r="G50" s="37"/>
      <c r="H50" s="34"/>
      <c r="I50" s="34"/>
      <c r="J50" s="45"/>
      <c r="K50" s="36"/>
      <c r="L50" s="40"/>
      <c r="M50" s="34"/>
    </row>
    <row r="51" spans="1:16" s="53" customFormat="1" ht="25.5" x14ac:dyDescent="0.25">
      <c r="A51" s="47" t="s">
        <v>190</v>
      </c>
      <c r="B51" s="47"/>
      <c r="C51" s="47"/>
      <c r="D51" s="55">
        <f>SUBTOTAL(9,D43:D50)</f>
        <v>0.50000300000000009</v>
      </c>
      <c r="E51" s="49">
        <f>'Oct 06'!$D51*$C$6*$C$2</f>
        <v>74103655.508165345</v>
      </c>
      <c r="F51" s="68"/>
      <c r="G51" s="68"/>
      <c r="H51" s="54"/>
      <c r="I51" s="54"/>
      <c r="J51" s="58"/>
      <c r="K51" s="49">
        <f>SUM(K43:K50)</f>
        <v>75496966.999999985</v>
      </c>
      <c r="L51" s="71">
        <f>'Oct 06'!$K51/$K$2</f>
        <v>0.50440605466595945</v>
      </c>
      <c r="M51" s="47"/>
    </row>
    <row r="52" spans="1:16" s="44" customFormat="1" ht="12.75" x14ac:dyDescent="0.25">
      <c r="A52" s="34"/>
      <c r="B52" s="34"/>
      <c r="C52" s="34"/>
      <c r="D52" s="35"/>
      <c r="E52" s="36"/>
      <c r="F52" s="36"/>
      <c r="G52" s="37"/>
      <c r="H52" s="34"/>
      <c r="I52" s="34"/>
      <c r="J52" s="45"/>
      <c r="K52" s="36"/>
      <c r="L52" s="40"/>
      <c r="M52" s="34"/>
    </row>
    <row r="53" spans="1:16" s="43" customFormat="1" ht="12.75" x14ac:dyDescent="0.25">
      <c r="A53" s="34"/>
      <c r="B53" s="34"/>
      <c r="C53" s="34"/>
      <c r="D53" s="35"/>
      <c r="E53" s="36"/>
      <c r="F53" s="36"/>
      <c r="G53" s="72"/>
      <c r="H53" s="34"/>
      <c r="I53" s="34"/>
      <c r="J53" s="38"/>
      <c r="K53" s="39"/>
      <c r="L53" s="40"/>
      <c r="M53" s="41"/>
    </row>
    <row r="54" spans="1:16" s="43" customFormat="1" ht="25.5" x14ac:dyDescent="0.25">
      <c r="A54" s="34" t="s">
        <v>191</v>
      </c>
      <c r="B54" s="34" t="s">
        <v>192</v>
      </c>
      <c r="C54" s="34" t="s">
        <v>64</v>
      </c>
      <c r="D54" s="35">
        <v>9.8200000000000002E-4</v>
      </c>
      <c r="E54" s="36">
        <f>'Oct 06'!$D54*$C$6*$C$2</f>
        <v>145538.70618579959</v>
      </c>
      <c r="F54" s="36">
        <v>44020</v>
      </c>
      <c r="G54" s="72">
        <f>'Oct 06'!$E54/'Oct 06'!$F54</f>
        <v>3.3061950519263879</v>
      </c>
      <c r="H54" s="34">
        <v>3</v>
      </c>
      <c r="I54" s="34">
        <v>3</v>
      </c>
      <c r="J54" s="38">
        <f t="shared" ref="J54:J63" si="3">I54-H54</f>
        <v>0</v>
      </c>
      <c r="K54" s="39">
        <f>'Oct 06'!$F54*'Oct 06'!$I54</f>
        <v>132060</v>
      </c>
      <c r="L54" s="40">
        <f>'Oct 06'!$K54/$K$2</f>
        <v>8.823117831897356E-4</v>
      </c>
      <c r="M54" s="41"/>
    </row>
    <row r="55" spans="1:16" s="43" customFormat="1" ht="25.5" x14ac:dyDescent="0.25">
      <c r="A55" s="34" t="s">
        <v>191</v>
      </c>
      <c r="B55" s="34" t="s">
        <v>193</v>
      </c>
      <c r="C55" s="34" t="s">
        <v>74</v>
      </c>
      <c r="D55" s="35">
        <v>9.8200000000000002E-4</v>
      </c>
      <c r="E55" s="36">
        <f>'Oct 06'!$D55*$C$6*$C$2</f>
        <v>145538.70618579959</v>
      </c>
      <c r="F55" s="36">
        <v>162698</v>
      </c>
      <c r="G55" s="72">
        <f>'Oct 06'!$E55/'Oct 06'!$F55</f>
        <v>0.8945328534204452</v>
      </c>
      <c r="H55" s="34">
        <v>1</v>
      </c>
      <c r="I55" s="34">
        <v>1</v>
      </c>
      <c r="J55" s="38">
        <f t="shared" si="3"/>
        <v>0</v>
      </c>
      <c r="K55" s="39">
        <f>'Oct 06'!$F55*'Oct 06'!$I55</f>
        <v>162698</v>
      </c>
      <c r="L55" s="40">
        <f>'Oct 06'!$K55/$K$2</f>
        <v>1.0870086513812176E-3</v>
      </c>
      <c r="M55" s="41"/>
      <c r="P55" s="43" t="s">
        <v>194</v>
      </c>
    </row>
    <row r="56" spans="1:16" s="43" customFormat="1" ht="25.5" x14ac:dyDescent="0.25">
      <c r="A56" s="34" t="s">
        <v>191</v>
      </c>
      <c r="B56" s="34" t="s">
        <v>195</v>
      </c>
      <c r="C56" s="34" t="s">
        <v>93</v>
      </c>
      <c r="D56" s="35">
        <v>9.8200000000000002E-4</v>
      </c>
      <c r="E56" s="36">
        <f>'Oct 06'!$D56*$C$6*$C$2</f>
        <v>145538.70618579959</v>
      </c>
      <c r="F56" s="36">
        <v>87786</v>
      </c>
      <c r="G56" s="72">
        <f>'Oct 06'!$E56/'Oct 06'!$F56</f>
        <v>1.6578805981113114</v>
      </c>
      <c r="H56" s="34">
        <v>2</v>
      </c>
      <c r="I56" s="34">
        <v>2</v>
      </c>
      <c r="J56" s="38">
        <f t="shared" si="3"/>
        <v>0</v>
      </c>
      <c r="K56" s="39">
        <f>'Oct 06'!$F56*'Oct 06'!$I56</f>
        <v>175572</v>
      </c>
      <c r="L56" s="40">
        <f>'Oct 06'!$K56/$K$2</f>
        <v>1.173021690127126E-3</v>
      </c>
      <c r="M56" s="41"/>
    </row>
    <row r="57" spans="1:16" s="43" customFormat="1" ht="25.5" x14ac:dyDescent="0.25">
      <c r="A57" s="34" t="s">
        <v>191</v>
      </c>
      <c r="B57" s="34" t="s">
        <v>94</v>
      </c>
      <c r="C57" s="34" t="s">
        <v>95</v>
      </c>
      <c r="D57" s="35">
        <v>9.8200000000000002E-4</v>
      </c>
      <c r="E57" s="36">
        <f>'Oct 06'!$D57*$C$6*$C$2</f>
        <v>145538.70618579959</v>
      </c>
      <c r="F57" s="36">
        <v>236880</v>
      </c>
      <c r="G57" s="72">
        <f>'Oct 06'!$E57/'Oct 06'!$F57</f>
        <v>0.61439845569824214</v>
      </c>
      <c r="H57" s="34">
        <v>1</v>
      </c>
      <c r="I57" s="34">
        <v>1</v>
      </c>
      <c r="J57" s="38">
        <f t="shared" si="3"/>
        <v>0</v>
      </c>
      <c r="K57" s="39">
        <f>'Oct 06'!$F57*'Oct 06'!$I57</f>
        <v>236880</v>
      </c>
      <c r="L57" s="40">
        <f>'Oct 06'!$K57/$K$2</f>
        <v>1.5826292230954457E-3</v>
      </c>
      <c r="M57" s="41"/>
    </row>
    <row r="58" spans="1:16" s="43" customFormat="1" ht="25.5" x14ac:dyDescent="0.25">
      <c r="A58" s="34" t="s">
        <v>191</v>
      </c>
      <c r="B58" s="34" t="s">
        <v>196</v>
      </c>
      <c r="C58" s="34" t="s">
        <v>197</v>
      </c>
      <c r="D58" s="35">
        <v>9.8200000000000002E-4</v>
      </c>
      <c r="E58" s="36">
        <f>'Oct 06'!$D58*$C$6*$C$2</f>
        <v>145538.70618579959</v>
      </c>
      <c r="F58" s="36">
        <v>43820</v>
      </c>
      <c r="G58" s="72">
        <f>'Oct 06'!$E58/'Oct 06'!$F58</f>
        <v>3.3212849426243629</v>
      </c>
      <c r="H58" s="34">
        <v>3</v>
      </c>
      <c r="I58" s="34">
        <v>3</v>
      </c>
      <c r="J58" s="38">
        <f t="shared" si="3"/>
        <v>0</v>
      </c>
      <c r="K58" s="39">
        <f>'Oct 06'!$F58*'Oct 06'!$I58</f>
        <v>131460</v>
      </c>
      <c r="L58" s="40">
        <f>'Oct 06'!$K58/$K$2</f>
        <v>8.7830309721431655E-4</v>
      </c>
      <c r="M58" s="41"/>
    </row>
    <row r="59" spans="1:16" s="43" customFormat="1" ht="25.5" x14ac:dyDescent="0.25">
      <c r="A59" s="34" t="s">
        <v>191</v>
      </c>
      <c r="B59" s="34" t="s">
        <v>198</v>
      </c>
      <c r="C59" s="34" t="s">
        <v>199</v>
      </c>
      <c r="D59" s="35">
        <v>9.8200000000000002E-4</v>
      </c>
      <c r="E59" s="36">
        <f>'Oct 06'!$D59*$C$6*$C$2</f>
        <v>145538.70618579959</v>
      </c>
      <c r="F59" s="36">
        <v>44791</v>
      </c>
      <c r="G59" s="72">
        <f>'Oct 06'!$E59/'Oct 06'!$F59</f>
        <v>3.2492845925699267</v>
      </c>
      <c r="H59" s="34">
        <v>3</v>
      </c>
      <c r="I59" s="34">
        <v>3</v>
      </c>
      <c r="J59" s="38">
        <f t="shared" si="3"/>
        <v>0</v>
      </c>
      <c r="K59" s="39">
        <f>'Oct 06'!$F59*'Oct 06'!$I59</f>
        <v>134373</v>
      </c>
      <c r="L59" s="40">
        <f>'Oct 06'!$K59/$K$2</f>
        <v>8.9776526762497602E-4</v>
      </c>
      <c r="M59" s="41"/>
    </row>
    <row r="60" spans="1:16" s="43" customFormat="1" ht="25.5" x14ac:dyDescent="0.25">
      <c r="A60" s="34" t="s">
        <v>191</v>
      </c>
      <c r="B60" s="34" t="s">
        <v>200</v>
      </c>
      <c r="C60" s="34" t="s">
        <v>99</v>
      </c>
      <c r="D60" s="35">
        <v>9.8200000000000002E-4</v>
      </c>
      <c r="E60" s="36">
        <f>'Oct 06'!$D60*$C$6*$C$2</f>
        <v>145538.70618579959</v>
      </c>
      <c r="F60" s="36">
        <v>12174.8181818182</v>
      </c>
      <c r="G60" s="72">
        <f>'Oct 06'!$E60/'Oct 06'!$F60</f>
        <v>11.954076357636799</v>
      </c>
      <c r="H60" s="34">
        <v>11</v>
      </c>
      <c r="I60" s="34">
        <v>11</v>
      </c>
      <c r="J60" s="38">
        <f t="shared" si="3"/>
        <v>0</v>
      </c>
      <c r="K60" s="39">
        <f>'Oct 06'!$F60*'Oct 06'!$I60</f>
        <v>133923.0000000002</v>
      </c>
      <c r="L60" s="40">
        <f>'Oct 06'!$K60/$K$2</f>
        <v>8.9475875314341314E-4</v>
      </c>
      <c r="M60" s="41"/>
    </row>
    <row r="61" spans="1:16" s="43" customFormat="1" ht="25.5" x14ac:dyDescent="0.25">
      <c r="A61" s="34" t="s">
        <v>191</v>
      </c>
      <c r="B61" s="34" t="s">
        <v>201</v>
      </c>
      <c r="C61" s="34" t="s">
        <v>102</v>
      </c>
      <c r="D61" s="35">
        <v>9.8200000000000002E-4</v>
      </c>
      <c r="E61" s="36">
        <f>'Oct 06'!$D61*$C$6*$C$2</f>
        <v>145538.70618579959</v>
      </c>
      <c r="F61" s="36">
        <v>90242.5</v>
      </c>
      <c r="G61" s="72">
        <f>'Oct 06'!$E61/'Oct 06'!$F61</f>
        <v>1.6127512667069239</v>
      </c>
      <c r="H61" s="34">
        <v>2</v>
      </c>
      <c r="I61" s="34">
        <v>2</v>
      </c>
      <c r="J61" s="38">
        <f t="shared" si="3"/>
        <v>0</v>
      </c>
      <c r="K61" s="39">
        <f>'Oct 06'!$F61*'Oct 06'!$I61</f>
        <v>180485</v>
      </c>
      <c r="L61" s="40">
        <f>'Oct 06'!$K61/$K$2</f>
        <v>1.2058461471225158E-3</v>
      </c>
      <c r="M61" s="41"/>
    </row>
    <row r="62" spans="1:16" s="2" customFormat="1" ht="25.5" x14ac:dyDescent="0.2">
      <c r="A62" s="34" t="s">
        <v>191</v>
      </c>
      <c r="B62" s="61" t="s">
        <v>202</v>
      </c>
      <c r="C62" s="61" t="s">
        <v>133</v>
      </c>
      <c r="D62" s="35">
        <v>9.8200000000000002E-4</v>
      </c>
      <c r="E62" s="36">
        <f>'Oct 06'!$D62*$C$6*$C$2</f>
        <v>145538.70618579959</v>
      </c>
      <c r="F62" s="36">
        <v>58113.5</v>
      </c>
      <c r="G62" s="72">
        <f>'Oct 06'!$E62/'Oct 06'!$F62</f>
        <v>2.5043872109888339</v>
      </c>
      <c r="H62" s="34">
        <v>2</v>
      </c>
      <c r="I62" s="34">
        <v>2</v>
      </c>
      <c r="J62" s="38">
        <f t="shared" si="3"/>
        <v>0</v>
      </c>
      <c r="K62" s="39">
        <f>'Oct 06'!$F62*'Oct 06'!$I62</f>
        <v>116227</v>
      </c>
      <c r="L62" s="40">
        <f>'Oct 06'!$K62/$K$2</f>
        <v>7.7652924144171892E-4</v>
      </c>
      <c r="M62" s="62"/>
    </row>
    <row r="63" spans="1:16" s="43" customFormat="1" ht="25.5" x14ac:dyDescent="0.25">
      <c r="A63" s="34" t="s">
        <v>191</v>
      </c>
      <c r="B63" s="34" t="s">
        <v>203</v>
      </c>
      <c r="C63" s="34" t="s">
        <v>204</v>
      </c>
      <c r="D63" s="35">
        <v>9.8200000000000002E-4</v>
      </c>
      <c r="E63" s="36">
        <f>'Oct 06'!$D63*$C$6*$C$2</f>
        <v>145538.70618579959</v>
      </c>
      <c r="F63" s="36">
        <v>121691</v>
      </c>
      <c r="G63" s="72">
        <f>'Oct 06'!$E63/'Oct 06'!$F63</f>
        <v>1.1959693501228488</v>
      </c>
      <c r="H63" s="34">
        <v>1</v>
      </c>
      <c r="I63" s="34">
        <v>1</v>
      </c>
      <c r="J63" s="38">
        <f t="shared" si="3"/>
        <v>0</v>
      </c>
      <c r="K63" s="39">
        <f>'Oct 06'!$F63*'Oct 06'!$I63</f>
        <v>121691</v>
      </c>
      <c r="L63" s="40">
        <f>'Oct 06'!$K63/$K$2</f>
        <v>8.1303500839120183E-4</v>
      </c>
      <c r="M63" s="41"/>
    </row>
    <row r="64" spans="1:16" s="43" customFormat="1" ht="12.75" x14ac:dyDescent="0.25">
      <c r="A64" s="34"/>
      <c r="B64" s="34"/>
      <c r="C64" s="34"/>
      <c r="D64" s="35"/>
      <c r="E64" s="36"/>
      <c r="F64" s="36"/>
      <c r="G64" s="37"/>
      <c r="H64" s="34"/>
      <c r="I64" s="34"/>
      <c r="J64" s="41"/>
      <c r="K64" s="39"/>
      <c r="L64" s="40"/>
      <c r="M64" s="41"/>
    </row>
    <row r="65" spans="1:13" s="43" customFormat="1" ht="12.75" x14ac:dyDescent="0.25">
      <c r="A65" s="34"/>
      <c r="B65" s="34"/>
      <c r="C65" s="34"/>
      <c r="D65" s="35"/>
      <c r="E65" s="36"/>
      <c r="F65" s="36"/>
      <c r="G65" s="37"/>
      <c r="H65" s="34"/>
      <c r="I65" s="34"/>
      <c r="J65" s="41"/>
      <c r="K65" s="39"/>
      <c r="L65" s="40"/>
      <c r="M65" s="41"/>
    </row>
    <row r="66" spans="1:13" s="43" customFormat="1" ht="12.75" x14ac:dyDescent="0.25">
      <c r="A66" s="34"/>
      <c r="B66" s="34"/>
      <c r="C66" s="34"/>
      <c r="D66" s="35"/>
      <c r="E66" s="36"/>
      <c r="F66" s="36"/>
      <c r="G66" s="37"/>
      <c r="H66" s="34"/>
      <c r="I66" s="34"/>
      <c r="J66" s="41"/>
      <c r="K66" s="39"/>
      <c r="L66" s="40"/>
      <c r="M66" s="41"/>
    </row>
    <row r="67" spans="1:13" s="43" customFormat="1" ht="12.75" x14ac:dyDescent="0.25">
      <c r="A67" s="34"/>
      <c r="B67" s="34"/>
      <c r="C67" s="34"/>
      <c r="D67" s="35"/>
      <c r="E67" s="36"/>
      <c r="F67" s="36"/>
      <c r="G67" s="37"/>
      <c r="H67" s="34"/>
      <c r="I67" s="34"/>
      <c r="J67" s="41"/>
      <c r="K67" s="39"/>
      <c r="L67" s="40"/>
      <c r="M67" s="41"/>
    </row>
    <row r="68" spans="1:13" s="43" customFormat="1" ht="12.75" x14ac:dyDescent="0.25">
      <c r="A68" s="34"/>
      <c r="B68" s="34"/>
      <c r="C68" s="34"/>
      <c r="D68" s="35"/>
      <c r="E68" s="36"/>
      <c r="F68" s="36"/>
      <c r="G68" s="37"/>
      <c r="H68" s="34"/>
      <c r="I68" s="34"/>
      <c r="J68" s="41"/>
      <c r="K68" s="39"/>
      <c r="L68" s="40"/>
      <c r="M68" s="41"/>
    </row>
    <row r="69" spans="1:13" s="43" customFormat="1" ht="12.75" x14ac:dyDescent="0.25">
      <c r="A69" s="34"/>
      <c r="B69" s="34"/>
      <c r="C69" s="34"/>
      <c r="D69" s="35"/>
      <c r="E69" s="36"/>
      <c r="F69" s="36"/>
      <c r="G69" s="37"/>
      <c r="H69" s="34"/>
      <c r="I69" s="34"/>
      <c r="J69" s="41"/>
      <c r="K69" s="39"/>
      <c r="L69" s="40"/>
      <c r="M69" s="41"/>
    </row>
    <row r="70" spans="1:13" s="43" customFormat="1" ht="12.75" x14ac:dyDescent="0.25">
      <c r="A70" s="34"/>
      <c r="B70" s="34"/>
      <c r="C70" s="34"/>
      <c r="D70" s="35"/>
      <c r="E70" s="36"/>
      <c r="F70" s="36"/>
      <c r="G70" s="37"/>
      <c r="H70" s="34"/>
      <c r="I70" s="34"/>
      <c r="J70" s="41"/>
      <c r="K70" s="39"/>
      <c r="L70" s="40"/>
      <c r="M70" s="41"/>
    </row>
    <row r="71" spans="1:13" s="15" customFormat="1" ht="12.75" x14ac:dyDescent="0.2">
      <c r="A71" s="47" t="s">
        <v>205</v>
      </c>
      <c r="B71" s="65"/>
      <c r="C71" s="65"/>
      <c r="D71" s="73">
        <f>SUM(D54:D70)</f>
        <v>9.8200000000000006E-3</v>
      </c>
      <c r="E71" s="49">
        <f>SUM(E53:E70)</f>
        <v>1455387.0618579958</v>
      </c>
      <c r="F71" s="68"/>
      <c r="G71" s="68"/>
      <c r="H71" s="65"/>
      <c r="I71" s="65"/>
      <c r="J71" s="47"/>
      <c r="K71" s="49">
        <f>SUM(K53:K70)</f>
        <v>1525369.0000000002</v>
      </c>
      <c r="L71" s="52">
        <f>'Oct 06'!$K71/$K$2</f>
        <v>1.0191208862731668E-2</v>
      </c>
      <c r="M71" s="59"/>
    </row>
    <row r="72" spans="1:13" s="2" customFormat="1" ht="12.75" x14ac:dyDescent="0.2">
      <c r="A72" s="34"/>
      <c r="B72" s="61"/>
      <c r="C72" s="61"/>
      <c r="D72" s="74"/>
      <c r="E72" s="36"/>
      <c r="F72" s="36"/>
      <c r="G72" s="37"/>
      <c r="H72" s="61"/>
      <c r="I72" s="61"/>
      <c r="J72" s="34"/>
      <c r="K72" s="34"/>
      <c r="L72" s="40"/>
      <c r="M72" s="62"/>
    </row>
    <row r="73" spans="1:13" s="43" customFormat="1" ht="25.5" x14ac:dyDescent="0.25">
      <c r="A73" s="47" t="s">
        <v>206</v>
      </c>
      <c r="B73" s="54" t="s">
        <v>207</v>
      </c>
      <c r="C73" s="54" t="s">
        <v>119</v>
      </c>
      <c r="D73" s="55">
        <v>9.1039999999999992E-3</v>
      </c>
      <c r="E73" s="56">
        <f>'Oct 06'!$D73*$C$6*$C$2</f>
        <v>1349271.2638650909</v>
      </c>
      <c r="F73" s="56">
        <v>31000</v>
      </c>
      <c r="G73" s="57">
        <f>'Oct 06'!$E73/'Oct 06'!$F73</f>
        <v>43.524879479519065</v>
      </c>
      <c r="H73" s="54">
        <v>40</v>
      </c>
      <c r="I73" s="54">
        <v>44</v>
      </c>
      <c r="J73" s="75">
        <f>I73-H73</f>
        <v>4</v>
      </c>
      <c r="K73" s="56">
        <f>'Oct 06'!$F73*'Oct 06'!$I73</f>
        <v>1364000</v>
      </c>
      <c r="L73" s="76">
        <f>'Oct 06'!$K73/$K$2</f>
        <v>9.1130794507860019E-3</v>
      </c>
      <c r="M73" s="54"/>
    </row>
    <row r="74" spans="1:13" s="2" customFormat="1" ht="12.75" x14ac:dyDescent="0.2">
      <c r="A74" s="34"/>
      <c r="B74" s="61"/>
      <c r="C74" s="61"/>
      <c r="D74" s="74"/>
      <c r="E74" s="36"/>
      <c r="F74" s="36"/>
      <c r="G74" s="37"/>
      <c r="H74" s="61"/>
      <c r="I74" s="61"/>
      <c r="J74" s="34"/>
      <c r="K74" s="34"/>
      <c r="L74" s="40"/>
      <c r="M74" s="62"/>
    </row>
    <row r="75" spans="1:13" s="2" customFormat="1" ht="12.75" x14ac:dyDescent="0.2">
      <c r="A75" s="34"/>
      <c r="B75" s="61"/>
      <c r="C75" s="61"/>
      <c r="D75" s="77"/>
      <c r="E75" s="63"/>
      <c r="F75" s="36"/>
      <c r="G75" s="37"/>
      <c r="H75" s="61"/>
      <c r="I75" s="61"/>
      <c r="J75" s="34"/>
      <c r="K75" s="34"/>
      <c r="L75" s="40"/>
      <c r="M75" s="62"/>
    </row>
    <row r="76" spans="1:13" s="15" customFormat="1" ht="12.75" x14ac:dyDescent="0.2">
      <c r="A76" s="47" t="s">
        <v>208</v>
      </c>
      <c r="B76" s="65"/>
      <c r="C76" s="65"/>
      <c r="D76" s="65"/>
      <c r="E76" s="78"/>
      <c r="F76" s="78"/>
      <c r="G76" s="47"/>
      <c r="H76" s="65"/>
      <c r="I76" s="65"/>
      <c r="J76" s="65"/>
      <c r="K76" s="78">
        <f>SUM(K24,K26,K41,K51,K71,K73)</f>
        <v>149674981.69703275</v>
      </c>
      <c r="L76" s="52">
        <f>'Oct 06'!$K76/$K$2</f>
        <v>1</v>
      </c>
      <c r="M76" s="65"/>
    </row>
    <row r="77" spans="1:13" s="2" customFormat="1" ht="12.75" x14ac:dyDescent="0.2">
      <c r="A77" s="62"/>
      <c r="B77" s="62"/>
      <c r="C77" s="62"/>
      <c r="D77" s="79"/>
      <c r="E77" s="80"/>
      <c r="F77" s="36"/>
      <c r="G77" s="81"/>
      <c r="H77" s="62"/>
      <c r="I77" s="62"/>
      <c r="J77" s="62"/>
      <c r="K77" s="62"/>
      <c r="L77" s="40"/>
      <c r="M77" s="62"/>
    </row>
    <row r="78" spans="1:13" s="2" customFormat="1" ht="12.75" x14ac:dyDescent="0.2">
      <c r="A78" s="62"/>
      <c r="B78" s="62"/>
      <c r="C78" s="62"/>
      <c r="D78" s="79"/>
      <c r="E78" s="80"/>
      <c r="F78" s="36"/>
      <c r="G78" s="81"/>
      <c r="H78" s="62"/>
      <c r="I78" s="62"/>
      <c r="J78" s="62"/>
      <c r="K78" s="62"/>
      <c r="L78" s="40"/>
      <c r="M78" s="62"/>
    </row>
    <row r="79" spans="1:13" s="2" customFormat="1" ht="12.75" x14ac:dyDescent="0.2">
      <c r="A79" s="62"/>
      <c r="B79" s="62"/>
      <c r="C79" s="62"/>
      <c r="D79" s="79"/>
      <c r="E79" s="80"/>
      <c r="F79" s="36"/>
      <c r="G79" s="81"/>
      <c r="H79" s="62"/>
      <c r="I79" s="62"/>
      <c r="J79" s="62"/>
      <c r="K79" s="62"/>
      <c r="L79" s="40"/>
      <c r="M79" s="62"/>
    </row>
    <row r="80" spans="1:13" s="2" customFormat="1" ht="12.75" x14ac:dyDescent="0.2">
      <c r="A80" s="62"/>
      <c r="B80" s="62"/>
      <c r="C80" s="62"/>
      <c r="D80" s="79"/>
      <c r="E80" s="80"/>
      <c r="F80" s="36"/>
      <c r="G80" s="81"/>
      <c r="H80" s="62"/>
      <c r="I80" s="62"/>
      <c r="J80" s="62"/>
      <c r="K80" s="62"/>
      <c r="L80" s="40"/>
      <c r="M80" s="62"/>
    </row>
    <row r="81" spans="1:13" s="2" customFormat="1" ht="12.75" x14ac:dyDescent="0.2">
      <c r="A81" s="62"/>
      <c r="B81" s="62"/>
      <c r="C81" s="62"/>
      <c r="D81" s="79"/>
      <c r="E81" s="80"/>
      <c r="F81" s="36"/>
      <c r="G81" s="81"/>
      <c r="H81" s="62"/>
      <c r="I81" s="62"/>
      <c r="J81" s="62"/>
      <c r="K81" s="62"/>
      <c r="L81" s="40"/>
      <c r="M81" s="62"/>
    </row>
    <row r="82" spans="1:13" s="2" customFormat="1" ht="12.75" x14ac:dyDescent="0.2">
      <c r="A82" s="62"/>
      <c r="B82" s="62"/>
      <c r="C82" s="62"/>
      <c r="D82" s="79"/>
      <c r="E82" s="80"/>
      <c r="F82" s="36"/>
      <c r="G82" s="81"/>
      <c r="H82" s="62"/>
      <c r="I82" s="62"/>
      <c r="J82" s="62"/>
      <c r="K82" s="62"/>
      <c r="L82" s="40"/>
      <c r="M82" s="62"/>
    </row>
    <row r="83" spans="1:13" s="2" customFormat="1" ht="12.75" x14ac:dyDescent="0.2">
      <c r="A83" s="62"/>
      <c r="B83" s="62"/>
      <c r="C83" s="62"/>
      <c r="D83" s="79"/>
      <c r="E83" s="80"/>
      <c r="F83" s="36"/>
      <c r="G83" s="81"/>
      <c r="H83" s="62"/>
      <c r="I83" s="62"/>
      <c r="J83" s="62"/>
      <c r="K83" s="62"/>
      <c r="L83" s="40"/>
      <c r="M83" s="62"/>
    </row>
    <row r="84" spans="1:13" s="2" customFormat="1" ht="12.75" x14ac:dyDescent="0.2">
      <c r="A84" s="62"/>
      <c r="B84" s="62"/>
      <c r="C84" s="62"/>
      <c r="D84" s="79"/>
      <c r="E84" s="80"/>
      <c r="F84" s="36"/>
      <c r="G84" s="81"/>
      <c r="H84" s="62"/>
      <c r="I84" s="62"/>
      <c r="J84" s="62"/>
      <c r="K84" s="62"/>
      <c r="L84" s="40"/>
      <c r="M84" s="62"/>
    </row>
    <row r="85" spans="1:13" s="2" customFormat="1" ht="12.75" x14ac:dyDescent="0.2">
      <c r="A85" s="62"/>
      <c r="B85" s="62"/>
      <c r="C85" s="62"/>
      <c r="D85" s="79"/>
      <c r="E85" s="80"/>
      <c r="F85" s="36"/>
      <c r="G85" s="81"/>
      <c r="H85" s="62"/>
      <c r="I85" s="62"/>
      <c r="J85" s="62"/>
      <c r="K85" s="62"/>
      <c r="L85" s="40"/>
      <c r="M85" s="62"/>
    </row>
    <row r="86" spans="1:13" s="2" customFormat="1" ht="12.75" x14ac:dyDescent="0.2"/>
    <row r="87" spans="1:13" s="2" customFormat="1" ht="12.75" x14ac:dyDescent="0.2"/>
    <row r="89" spans="1:13" s="2" customFormat="1" ht="12.75" x14ac:dyDescent="0.2">
      <c r="A89" s="82"/>
      <c r="B89" s="82"/>
      <c r="E89" s="82"/>
      <c r="F89" s="82"/>
      <c r="G89" s="82"/>
      <c r="H89" s="83"/>
      <c r="M89" s="82"/>
    </row>
    <row r="90" spans="1:13" s="2" customFormat="1" ht="12.75" x14ac:dyDescent="0.2">
      <c r="A90" s="82"/>
      <c r="B90" s="82"/>
      <c r="E90" s="82"/>
      <c r="F90" s="82"/>
      <c r="G90" s="82"/>
      <c r="H90" s="83"/>
      <c r="M90" s="82"/>
    </row>
    <row r="91" spans="1:13" s="2" customFormat="1" ht="12.75" x14ac:dyDescent="0.2">
      <c r="A91" s="84"/>
      <c r="B91" s="84"/>
    </row>
    <row r="92" spans="1:13" s="2" customFormat="1" ht="12.75" x14ac:dyDescent="0.2">
      <c r="A92" s="85"/>
      <c r="B92" s="85"/>
      <c r="E92" s="85"/>
      <c r="F92" s="84"/>
      <c r="G92" s="84"/>
      <c r="M92" s="86"/>
    </row>
    <row r="93" spans="1:13" s="2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H93"/>
  <sheetViews>
    <sheetView zoomScale="125" zoomScaleNormal="125" workbookViewId="0">
      <pane xSplit="2" topLeftCell="C1" activePane="topRight" state="frozen"/>
      <selection pane="topRight" activeCell="I5" sqref="I5"/>
    </sheetView>
  </sheetViews>
  <sheetFormatPr defaultColWidth="9.140625" defaultRowHeight="15" x14ac:dyDescent="0.25"/>
  <cols>
    <col min="1" max="2" width="15.140625" style="2" customWidth="1"/>
    <col min="3" max="3" width="29.28515625" style="2" customWidth="1"/>
    <col min="4" max="4" width="14.85546875" style="2" customWidth="1"/>
    <col min="5" max="5" width="27.42578125" style="2" customWidth="1"/>
    <col min="6" max="7" width="13.7109375" style="2" customWidth="1"/>
    <col min="8" max="8" width="16.5703125" style="2" customWidth="1"/>
    <col min="9" max="9" width="15.5703125" style="2" customWidth="1"/>
    <col min="10" max="10" width="13.42578125" customWidth="1"/>
    <col min="11" max="11" width="23.5703125" customWidth="1"/>
    <col min="12" max="12" width="13.42578125" customWidth="1"/>
    <col min="13" max="13" width="22.5703125" style="2" customWidth="1"/>
    <col min="14" max="16" width="10.85546875" style="2" customWidth="1"/>
    <col min="17" max="17" width="11.28515625" style="2" customWidth="1"/>
    <col min="18" max="1022" width="9.140625" style="2"/>
  </cols>
  <sheetData>
    <row r="1" spans="1:17" s="2" customFormat="1" ht="25.5" x14ac:dyDescent="0.2">
      <c r="A1" s="3"/>
      <c r="B1" s="3" t="s">
        <v>138</v>
      </c>
      <c r="C1" s="4">
        <v>44111</v>
      </c>
      <c r="D1" s="5"/>
      <c r="E1" s="6" t="s">
        <v>139</v>
      </c>
      <c r="F1" s="7"/>
      <c r="G1" s="8"/>
      <c r="K1" s="9" t="s">
        <v>140</v>
      </c>
      <c r="L1" s="9" t="s">
        <v>141</v>
      </c>
      <c r="M1" s="10" t="s">
        <v>142</v>
      </c>
    </row>
    <row r="2" spans="1:17" x14ac:dyDescent="0.25">
      <c r="A2" s="3"/>
      <c r="B2" s="3" t="s">
        <v>143</v>
      </c>
      <c r="C2" s="11">
        <v>7.43</v>
      </c>
      <c r="D2" s="12"/>
      <c r="E2" s="13">
        <f>SUM(E24,E41,E51,E71,E26,E73)</f>
        <v>138056752.99357912</v>
      </c>
      <c r="F2" s="14"/>
      <c r="G2" s="15"/>
      <c r="H2" s="12"/>
      <c r="I2" s="12"/>
      <c r="J2" s="12"/>
      <c r="K2" s="13">
        <f>SUM(K24,K41,K51,K71,K26,K73)</f>
        <v>144372885.10040012</v>
      </c>
      <c r="L2" s="16">
        <f>SUM(L51,L71,L41,L24,L26,L73)</f>
        <v>1</v>
      </c>
      <c r="M2" s="17">
        <f>K2/$C$6</f>
        <v>7.7698933393263081</v>
      </c>
      <c r="N2" s="18"/>
    </row>
    <row r="3" spans="1:17" ht="26.25" x14ac:dyDescent="0.25">
      <c r="A3" s="3"/>
      <c r="B3" s="3" t="s">
        <v>144</v>
      </c>
      <c r="C3" s="19">
        <v>18581063.960000001</v>
      </c>
      <c r="D3" s="20"/>
      <c r="E3" s="6" t="s">
        <v>145</v>
      </c>
      <c r="F3" s="14"/>
      <c r="G3" s="15"/>
      <c r="H3" s="12"/>
      <c r="I3" s="12"/>
      <c r="J3" s="12"/>
      <c r="K3" s="6" t="s">
        <v>145</v>
      </c>
      <c r="L3" s="12"/>
      <c r="M3" s="10" t="s">
        <v>146</v>
      </c>
      <c r="N3" s="21"/>
    </row>
    <row r="4" spans="1:17" x14ac:dyDescent="0.25">
      <c r="A4" s="3"/>
      <c r="B4" s="3" t="s">
        <v>147</v>
      </c>
      <c r="C4" s="19">
        <v>0</v>
      </c>
      <c r="D4" s="20"/>
      <c r="E4" s="13">
        <f>SUM(E24,E71,E26)</f>
        <v>25064855.992420234</v>
      </c>
      <c r="F4" s="14"/>
      <c r="G4" s="15"/>
      <c r="H4" s="12"/>
      <c r="I4" s="12"/>
      <c r="J4" s="12"/>
      <c r="K4" s="13">
        <f>SUM(K24,K26,K71)</f>
        <v>25231692.364466023</v>
      </c>
      <c r="L4" s="12"/>
      <c r="M4" s="17">
        <f>K4/$C$6</f>
        <v>1.3579250584779765</v>
      </c>
      <c r="N4" s="21"/>
    </row>
    <row r="5" spans="1:17" x14ac:dyDescent="0.25">
      <c r="A5" s="3"/>
      <c r="B5" s="3" t="s">
        <v>148</v>
      </c>
      <c r="C5" s="19">
        <v>0</v>
      </c>
      <c r="D5" s="20"/>
      <c r="E5" s="14"/>
      <c r="F5" s="14"/>
      <c r="G5" s="22">
        <f>SUM(D24,D26,D41,D51,D71,D73)</f>
        <v>0.999996</v>
      </c>
      <c r="H5" s="12"/>
      <c r="I5" s="12"/>
      <c r="J5" s="12"/>
      <c r="K5" s="12"/>
      <c r="L5" s="12"/>
      <c r="M5" s="12"/>
      <c r="N5" s="21"/>
    </row>
    <row r="6" spans="1:17" x14ac:dyDescent="0.25">
      <c r="A6" s="3"/>
      <c r="B6" s="3" t="s">
        <v>149</v>
      </c>
      <c r="C6" s="19">
        <f>C3+C4-C5</f>
        <v>18581063.960000001</v>
      </c>
      <c r="D6" s="20"/>
      <c r="E6" s="14"/>
      <c r="F6" s="14"/>
      <c r="G6" s="15"/>
      <c r="H6" s="12"/>
      <c r="I6" s="12"/>
      <c r="J6" s="12"/>
      <c r="K6" s="12"/>
      <c r="L6" s="12"/>
      <c r="M6" s="12"/>
      <c r="N6" s="21"/>
    </row>
    <row r="7" spans="1:17" x14ac:dyDescent="0.25">
      <c r="A7" s="23"/>
      <c r="B7" s="24"/>
      <c r="C7" s="24"/>
      <c r="D7" s="25"/>
      <c r="E7" s="26"/>
      <c r="F7" s="26"/>
      <c r="G7" s="26"/>
      <c r="H7" s="27"/>
      <c r="I7" s="27"/>
      <c r="J7" s="27"/>
      <c r="K7" s="12"/>
      <c r="L7" s="12"/>
      <c r="M7" s="12"/>
      <c r="N7" s="21"/>
    </row>
    <row r="8" spans="1:17" s="32" customFormat="1" ht="38.25" x14ac:dyDescent="0.2">
      <c r="A8" s="28" t="s">
        <v>150</v>
      </c>
      <c r="B8" s="28" t="s">
        <v>151</v>
      </c>
      <c r="C8" s="29" t="s">
        <v>1</v>
      </c>
      <c r="D8" s="29" t="s">
        <v>152</v>
      </c>
      <c r="E8" s="29" t="s">
        <v>153</v>
      </c>
      <c r="F8" s="29" t="s">
        <v>154</v>
      </c>
      <c r="G8" s="29" t="s">
        <v>155</v>
      </c>
      <c r="H8" s="29" t="s">
        <v>156</v>
      </c>
      <c r="I8" s="29" t="s">
        <v>157</v>
      </c>
      <c r="J8" s="29" t="s">
        <v>158</v>
      </c>
      <c r="K8" s="30" t="s">
        <v>159</v>
      </c>
      <c r="L8" s="30" t="s">
        <v>160</v>
      </c>
      <c r="M8" s="30" t="s">
        <v>161</v>
      </c>
      <c r="N8" s="31"/>
      <c r="Q8" s="33"/>
    </row>
    <row r="9" spans="1:17" s="43" customFormat="1" ht="12.75" x14ac:dyDescent="0.25">
      <c r="A9" s="34" t="s">
        <v>162</v>
      </c>
      <c r="B9" s="34" t="s">
        <v>46</v>
      </c>
      <c r="C9" s="34" t="s">
        <v>47</v>
      </c>
      <c r="D9" s="35">
        <v>1.0515E-2</v>
      </c>
      <c r="E9" s="36">
        <f>'Oct 07'!$D9*$C$6*$C$2</f>
        <v>1451672.5644177422</v>
      </c>
      <c r="F9" s="36">
        <v>556.55997109826603</v>
      </c>
      <c r="G9" s="37">
        <f>'Oct 07'!$E9/'Oct 07'!$F9</f>
        <v>2608.2949543660866</v>
      </c>
      <c r="H9" s="34">
        <v>2768</v>
      </c>
      <c r="I9" s="34">
        <f>ROUND(Table1389584567991011121314456267891011121314151617181920213456[[#This Row],[Target Quantity]],0)</f>
        <v>2608</v>
      </c>
      <c r="J9" s="38">
        <f t="shared" ref="J9:J22" si="0">I9-H9</f>
        <v>-160</v>
      </c>
      <c r="K9" s="39">
        <f>'Oct 07'!$F9*'Oct 07'!$I9</f>
        <v>1451508.4046242777</v>
      </c>
      <c r="L9" s="40">
        <f>'Oct 07'!$K9/$K$2</f>
        <v>1.0053885143424725E-2</v>
      </c>
      <c r="M9" s="41"/>
      <c r="N9" s="42"/>
      <c r="O9" s="87"/>
    </row>
    <row r="10" spans="1:17" s="43" customFormat="1" ht="12.75" customHeight="1" x14ac:dyDescent="0.25">
      <c r="A10" s="34" t="s">
        <v>162</v>
      </c>
      <c r="B10" s="34" t="s">
        <v>55</v>
      </c>
      <c r="C10" s="34" t="s">
        <v>56</v>
      </c>
      <c r="D10" s="35">
        <v>1.0515E-2</v>
      </c>
      <c r="E10" s="36">
        <f>'Oct 07'!$D10*$C$6*$C$2</f>
        <v>1451672.5644177422</v>
      </c>
      <c r="F10" s="36">
        <v>416.14013452914799</v>
      </c>
      <c r="G10" s="37">
        <f>'Oct 07'!$E10/'Oct 07'!$F10</f>
        <v>3488.4223942020708</v>
      </c>
      <c r="H10" s="34">
        <v>3568</v>
      </c>
      <c r="I10" s="34">
        <f>ROUND(Table1389584567991011121314456267891011121314151617181920213456[[#This Row],[Target Quantity]],0)</f>
        <v>3488</v>
      </c>
      <c r="J10" s="38">
        <f t="shared" si="0"/>
        <v>-80</v>
      </c>
      <c r="K10" s="39">
        <f>'Oct 07'!$F10*'Oct 07'!$I10</f>
        <v>1451496.7892376683</v>
      </c>
      <c r="L10" s="40">
        <f>'Oct 07'!$K10/$K$2</f>
        <v>1.0053804689351917E-2</v>
      </c>
      <c r="M10" s="41"/>
    </row>
    <row r="11" spans="1:17" s="43" customFormat="1" ht="12.75" customHeight="1" x14ac:dyDescent="0.25">
      <c r="A11" s="34" t="s">
        <v>162</v>
      </c>
      <c r="B11" s="34" t="s">
        <v>37</v>
      </c>
      <c r="C11" s="34" t="s">
        <v>38</v>
      </c>
      <c r="D11" s="35">
        <v>1.0515E-2</v>
      </c>
      <c r="E11" s="36">
        <f>'Oct 07'!$D11*$C$6*$C$2</f>
        <v>1451672.5644177422</v>
      </c>
      <c r="F11" s="36">
        <v>78.429976055835795</v>
      </c>
      <c r="G11" s="37">
        <f>'Oct 07'!$E11/'Oct 07'!$F11</f>
        <v>18509.154757159034</v>
      </c>
      <c r="H11" s="34">
        <v>19629</v>
      </c>
      <c r="I11" s="34">
        <f>ROUND(Table1389584567991011121314456267891011121314151617181920213456[[#This Row],[Target Quantity]],0)</f>
        <v>18509</v>
      </c>
      <c r="J11" s="38">
        <f t="shared" si="0"/>
        <v>-1120</v>
      </c>
      <c r="K11" s="39">
        <f>'Oct 07'!$F11*'Oct 07'!$I11</f>
        <v>1451660.4268174646</v>
      </c>
      <c r="L11" s="40">
        <f>'Oct 07'!$K11/$K$2</f>
        <v>1.0054938126421368E-2</v>
      </c>
      <c r="M11" s="41"/>
    </row>
    <row r="12" spans="1:17" s="44" customFormat="1" ht="12.75" customHeight="1" x14ac:dyDescent="0.25">
      <c r="A12" s="34" t="s">
        <v>162</v>
      </c>
      <c r="B12" s="34" t="s">
        <v>23</v>
      </c>
      <c r="C12" s="34" t="s">
        <v>24</v>
      </c>
      <c r="D12" s="35">
        <v>1.0515E-2</v>
      </c>
      <c r="E12" s="36">
        <f>'Oct 07'!$D12*$C$6*$C$2</f>
        <v>1451672.5644177422</v>
      </c>
      <c r="F12" s="36">
        <v>221.210013491231</v>
      </c>
      <c r="G12" s="37">
        <f>'Oct 07'!$E12/'Oct 07'!$F12</f>
        <v>6562.4179552581063</v>
      </c>
      <c r="H12" s="34">
        <v>6671</v>
      </c>
      <c r="I12" s="34">
        <f>ROUND(Table1389584567991011121314456267891011121314151617181920213456[[#This Row],[Target Quantity]],0)</f>
        <v>6562</v>
      </c>
      <c r="J12" s="38">
        <f t="shared" si="0"/>
        <v>-109</v>
      </c>
      <c r="K12" s="39">
        <f>'Oct 07'!$F12*'Oct 07'!$I12</f>
        <v>1451580.1085294578</v>
      </c>
      <c r="L12" s="40">
        <f>'Oct 07'!$K12/$K$2</f>
        <v>1.0054381801125584E-2</v>
      </c>
      <c r="M12" s="34"/>
    </row>
    <row r="13" spans="1:17" s="44" customFormat="1" ht="12.75" customHeight="1" x14ac:dyDescent="0.25">
      <c r="A13" s="34" t="s">
        <v>162</v>
      </c>
      <c r="B13" s="34" t="s">
        <v>60</v>
      </c>
      <c r="C13" s="34" t="s">
        <v>61</v>
      </c>
      <c r="D13" s="35">
        <v>1.0515E-2</v>
      </c>
      <c r="E13" s="36">
        <f>'Oct 07'!$D13*$C$6*$C$2</f>
        <v>1451672.5644177422</v>
      </c>
      <c r="F13" s="36">
        <v>480</v>
      </c>
      <c r="G13" s="37">
        <f>'Oct 07'!$E13/'Oct 07'!$F13</f>
        <v>3024.3178425369629</v>
      </c>
      <c r="H13" s="34">
        <v>3105</v>
      </c>
      <c r="I13" s="34">
        <f>ROUND(Table1389584567991011121314456267891011121314151617181920213456[[#This Row],[Target Quantity]],0)</f>
        <v>3024</v>
      </c>
      <c r="J13" s="38">
        <f t="shared" si="0"/>
        <v>-81</v>
      </c>
      <c r="K13" s="39">
        <f>'Oct 07'!$F13*'Oct 07'!$I13</f>
        <v>1451520</v>
      </c>
      <c r="L13" s="40">
        <f>'Oct 07'!$K13/$K$2</f>
        <v>1.0053965458891957E-2</v>
      </c>
      <c r="M13" s="34"/>
    </row>
    <row r="14" spans="1:17" s="44" customFormat="1" ht="12.75" customHeight="1" x14ac:dyDescent="0.25">
      <c r="A14" s="34" t="s">
        <v>162</v>
      </c>
      <c r="B14" s="34" t="s">
        <v>163</v>
      </c>
      <c r="C14" s="34" t="s">
        <v>164</v>
      </c>
      <c r="D14" s="35">
        <v>1.0515E-2</v>
      </c>
      <c r="E14" s="36">
        <f>'Oct 07'!$D14*$C$6*$C$2</f>
        <v>1451672.5644177422</v>
      </c>
      <c r="F14" s="36">
        <v>3120.2405063291098</v>
      </c>
      <c r="G14" s="37">
        <f>'Oct 07'!$E14/'Oct 07'!$F14</f>
        <v>465.2438045955634</v>
      </c>
      <c r="H14" s="34">
        <v>474</v>
      </c>
      <c r="I14" s="34">
        <f>ROUND(Table1389584567991011121314456267891011121314151617181920213456[[#This Row],[Target Quantity]],0)</f>
        <v>465</v>
      </c>
      <c r="J14" s="38">
        <f t="shared" si="0"/>
        <v>-9</v>
      </c>
      <c r="K14" s="39">
        <f>'Oct 07'!$F14*'Oct 07'!$I14</f>
        <v>1450911.8354430362</v>
      </c>
      <c r="L14" s="40">
        <f>'Oct 07'!$K14/$K$2</f>
        <v>1.0049753001985379E-2</v>
      </c>
      <c r="M14" s="34"/>
    </row>
    <row r="15" spans="1:17" s="44" customFormat="1" ht="12.75" customHeight="1" x14ac:dyDescent="0.25">
      <c r="A15" s="34" t="s">
        <v>162</v>
      </c>
      <c r="B15" s="34" t="s">
        <v>52</v>
      </c>
      <c r="C15" s="34" t="s">
        <v>53</v>
      </c>
      <c r="D15" s="35">
        <v>1.0515E-2</v>
      </c>
      <c r="E15" s="36">
        <f>'Oct 07'!$D15*$C$6*$C$2</f>
        <v>1451672.5644177422</v>
      </c>
      <c r="F15" s="36">
        <v>194.13004542504899</v>
      </c>
      <c r="G15" s="37">
        <f>'Oct 07'!$E15/'Oct 07'!$F15</f>
        <v>7477.8355984994269</v>
      </c>
      <c r="H15" s="34">
        <v>7705</v>
      </c>
      <c r="I15" s="34">
        <f>ROUND(Table1389584567991011121314456267891011121314151617181920213456[[#This Row],[Target Quantity]],0)</f>
        <v>7478</v>
      </c>
      <c r="J15" s="38">
        <f t="shared" si="0"/>
        <v>-227</v>
      </c>
      <c r="K15" s="39">
        <f>'Oct 07'!$F15*'Oct 07'!$I15</f>
        <v>1451704.4796885164</v>
      </c>
      <c r="L15" s="40">
        <f>'Oct 07'!$K15/$K$2</f>
        <v>1.005524325900233E-2</v>
      </c>
      <c r="M15" s="34"/>
    </row>
    <row r="16" spans="1:17" s="44" customFormat="1" ht="12.75" customHeight="1" x14ac:dyDescent="0.25">
      <c r="A16" s="34" t="s">
        <v>162</v>
      </c>
      <c r="B16" s="34" t="s">
        <v>165</v>
      </c>
      <c r="C16" s="34" t="s">
        <v>166</v>
      </c>
      <c r="D16" s="35">
        <v>1.0515E-2</v>
      </c>
      <c r="E16" s="36">
        <f>'Oct 07'!$D16*$C$6*$C$2</f>
        <v>1451672.5644177422</v>
      </c>
      <c r="F16" s="36">
        <v>290.57205573582701</v>
      </c>
      <c r="G16" s="37">
        <f>'Oct 07'!$E16/'Oct 07'!$F16</f>
        <v>4995.9124966150475</v>
      </c>
      <c r="H16" s="34">
        <v>5239</v>
      </c>
      <c r="I16" s="34">
        <f>ROUND(Table1389584567991011121314456267891011121314151617181920213456[[#This Row],[Target Quantity]],0)</f>
        <v>4996</v>
      </c>
      <c r="J16" s="38">
        <f t="shared" si="0"/>
        <v>-243</v>
      </c>
      <c r="K16" s="39">
        <f>'Oct 07'!$F16*'Oct 07'!$I16</f>
        <v>1451697.9904561918</v>
      </c>
      <c r="L16" s="40">
        <f>'Oct 07'!$K16/$K$2</f>
        <v>1.0055198311280187E-2</v>
      </c>
      <c r="M16" s="34"/>
    </row>
    <row r="17" spans="1:15" s="44" customFormat="1" ht="12.75" customHeight="1" x14ac:dyDescent="0.25">
      <c r="A17" s="34" t="s">
        <v>162</v>
      </c>
      <c r="B17" s="34" t="s">
        <v>43</v>
      </c>
      <c r="C17" s="34" t="s">
        <v>44</v>
      </c>
      <c r="D17" s="35">
        <v>1.0515E-2</v>
      </c>
      <c r="E17" s="36">
        <f>'Oct 07'!$D17*$C$6*$C$2</f>
        <v>1451672.5644177422</v>
      </c>
      <c r="F17" s="36">
        <v>1091.39001447178</v>
      </c>
      <c r="G17" s="37">
        <f>'Oct 07'!$E17/'Oct 07'!$F17</f>
        <v>1330.1134747144765</v>
      </c>
      <c r="H17" s="34">
        <v>1382</v>
      </c>
      <c r="I17" s="34">
        <f>ROUND(Table1389584567991011121314456267891011121314151617181920213456[[#This Row],[Target Quantity]],0)</f>
        <v>1330</v>
      </c>
      <c r="J17" s="38">
        <f t="shared" si="0"/>
        <v>-52</v>
      </c>
      <c r="K17" s="39">
        <f>'Oct 07'!$F17*'Oct 07'!$I17</f>
        <v>1451548.7192474674</v>
      </c>
      <c r="L17" s="40">
        <f>'Oct 07'!$K17/$K$2</f>
        <v>1.0054164383000505E-2</v>
      </c>
      <c r="M17" s="34"/>
    </row>
    <row r="18" spans="1:15" s="44" customFormat="1" ht="12.75" customHeight="1" x14ac:dyDescent="0.25">
      <c r="A18" s="34" t="s">
        <v>162</v>
      </c>
      <c r="B18" s="34" t="s">
        <v>167</v>
      </c>
      <c r="C18" s="34" t="s">
        <v>168</v>
      </c>
      <c r="D18" s="35">
        <v>1.0515E-2</v>
      </c>
      <c r="E18" s="36">
        <f>'Oct 07'!$D18*$C$6*$C$2</f>
        <v>1451672.5644177422</v>
      </c>
      <c r="F18" s="36">
        <v>169.34998316309401</v>
      </c>
      <c r="G18" s="37">
        <f>'Oct 07'!$E18/'Oct 07'!$F18</f>
        <v>8572.026623821368</v>
      </c>
      <c r="H18" s="34">
        <v>8909</v>
      </c>
      <c r="I18" s="34">
        <f>ROUND(Table1389584567991011121314456267891011121314151617181920213456[[#This Row],[Target Quantity]],0)</f>
        <v>8572</v>
      </c>
      <c r="J18" s="38">
        <f t="shared" si="0"/>
        <v>-337</v>
      </c>
      <c r="K18" s="39">
        <f>'Oct 07'!$F18*'Oct 07'!$I18</f>
        <v>1451668.0556740419</v>
      </c>
      <c r="L18" s="40">
        <f>'Oct 07'!$K18/$K$2</f>
        <v>1.005499096776046E-2</v>
      </c>
      <c r="M18" s="34"/>
    </row>
    <row r="19" spans="1:15" s="44" customFormat="1" ht="12.75" customHeight="1" x14ac:dyDescent="0.25">
      <c r="A19" s="34" t="s">
        <v>162</v>
      </c>
      <c r="B19" s="34" t="s">
        <v>28</v>
      </c>
      <c r="C19" s="34" t="s">
        <v>29</v>
      </c>
      <c r="D19" s="35">
        <v>1.0515E-2</v>
      </c>
      <c r="E19" s="36">
        <f>'Oct 07'!$D19*$C$6*$C$2</f>
        <v>1451672.5644177422</v>
      </c>
      <c r="F19" s="36">
        <v>259.27003783969701</v>
      </c>
      <c r="G19" s="37">
        <f>'Oct 07'!$E19/'Oct 07'!$F19</f>
        <v>5599.0756838446978</v>
      </c>
      <c r="H19" s="34">
        <v>5814</v>
      </c>
      <c r="I19" s="34">
        <f>ROUND(Table1389584567991011121314456267891011121314151617181920213456[[#This Row],[Target Quantity]],0)</f>
        <v>5599</v>
      </c>
      <c r="J19" s="38">
        <f t="shared" si="0"/>
        <v>-215</v>
      </c>
      <c r="K19" s="39">
        <f>'Oct 07'!$F19*'Oct 07'!$I19</f>
        <v>1451652.9418644635</v>
      </c>
      <c r="L19" s="40">
        <f>'Oct 07'!$K19/$K$2</f>
        <v>1.0054886281831604E-2</v>
      </c>
      <c r="M19" s="34"/>
    </row>
    <row r="20" spans="1:15" s="44" customFormat="1" ht="12.75" customHeight="1" x14ac:dyDescent="0.25">
      <c r="A20" s="34" t="s">
        <v>162</v>
      </c>
      <c r="B20" s="34" t="s">
        <v>169</v>
      </c>
      <c r="C20" s="34" t="s">
        <v>170</v>
      </c>
      <c r="D20" s="35">
        <v>1.0515E-2</v>
      </c>
      <c r="E20" s="36">
        <f>'Oct 07'!$D20*$C$6*$C$2</f>
        <v>1451672.5644177422</v>
      </c>
      <c r="F20" s="36">
        <v>199.609969098482</v>
      </c>
      <c r="G20" s="37">
        <f>'Oct 07'!$E20/'Oct 07'!$F20</f>
        <v>7272.5454093003109</v>
      </c>
      <c r="H20" s="34">
        <v>7443</v>
      </c>
      <c r="I20" s="34">
        <f>ROUND(Table1389584567991011121314456267891011121314151617181920213456[[#This Row],[Target Quantity]],0)</f>
        <v>7273</v>
      </c>
      <c r="J20" s="38">
        <f t="shared" si="0"/>
        <v>-170</v>
      </c>
      <c r="K20" s="39">
        <f>'Oct 07'!$F20*'Oct 07'!$I20</f>
        <v>1451763.3052532596</v>
      </c>
      <c r="L20" s="40">
        <f>'Oct 07'!$K20/$K$2</f>
        <v>1.0055650714770097E-2</v>
      </c>
      <c r="M20" s="34"/>
    </row>
    <row r="21" spans="1:15" s="44" customFormat="1" ht="12.75" customHeight="1" x14ac:dyDescent="0.25">
      <c r="A21" s="34" t="s">
        <v>162</v>
      </c>
      <c r="B21" s="34" t="s">
        <v>173</v>
      </c>
      <c r="C21" s="34" t="s">
        <v>174</v>
      </c>
      <c r="D21" s="35">
        <v>1.0515E-2</v>
      </c>
      <c r="E21" s="36">
        <f>'Oct 07'!$D21*$C$6*$C$2</f>
        <v>1451672.5644177422</v>
      </c>
      <c r="F21" s="36">
        <v>85.600022745365607</v>
      </c>
      <c r="G21" s="37">
        <f>'Oct 07'!$E21/'Oct 07'!$F21</f>
        <v>16958.787134158043</v>
      </c>
      <c r="H21" s="34">
        <v>17586</v>
      </c>
      <c r="I21" s="34">
        <f>ROUND(Table1389584567991011121314456267891011121314151617181920213456[[#This Row],[Target Quantity]],0)</f>
        <v>16959</v>
      </c>
      <c r="J21" s="38">
        <f t="shared" si="0"/>
        <v>-627</v>
      </c>
      <c r="K21" s="39">
        <f>'Oct 07'!$F21*'Oct 07'!$I21</f>
        <v>1451690.7857386554</v>
      </c>
      <c r="L21" s="40">
        <f>'Oct 07'!$K21/$K$2</f>
        <v>1.0055148407743721E-2</v>
      </c>
      <c r="M21" s="34"/>
    </row>
    <row r="22" spans="1:15" s="44" customFormat="1" ht="12.75" customHeight="1" x14ac:dyDescent="0.25">
      <c r="A22" s="34" t="s">
        <v>162</v>
      </c>
      <c r="B22" s="34" t="s">
        <v>19</v>
      </c>
      <c r="C22" s="34" t="s">
        <v>20</v>
      </c>
      <c r="D22" s="35">
        <v>1.0515E-2</v>
      </c>
      <c r="E22" s="36">
        <f>'Oct 07'!$D22*$C$6*$C$2</f>
        <v>1451672.5644177422</v>
      </c>
      <c r="F22" s="36">
        <v>1256.4098088113101</v>
      </c>
      <c r="G22" s="37">
        <f>'Oct 07'!$E22/'Oct 07'!$F22</f>
        <v>1155.4132690122583</v>
      </c>
      <c r="H22" s="34">
        <v>1203</v>
      </c>
      <c r="I22" s="34">
        <f>ROUND(Table1389584567991011121314456267891011121314151617181920213456[[#This Row],[Target Quantity]],0)</f>
        <v>1155</v>
      </c>
      <c r="J22" s="38">
        <f t="shared" si="0"/>
        <v>-48</v>
      </c>
      <c r="K22" s="39">
        <f>'Oct 07'!$F22*'Oct 07'!$I22</f>
        <v>1451153.3291770632</v>
      </c>
      <c r="L22" s="40">
        <f>'Oct 07'!$K22/$K$2</f>
        <v>1.0051425710360355E-2</v>
      </c>
      <c r="M22" s="34"/>
    </row>
    <row r="23" spans="1:15" s="44" customFormat="1" ht="12.75" customHeight="1" x14ac:dyDescent="0.25">
      <c r="A23" s="34"/>
      <c r="B23" s="34"/>
      <c r="C23" s="34"/>
      <c r="D23" s="35"/>
      <c r="E23" s="36"/>
      <c r="F23" s="36"/>
      <c r="G23" s="37"/>
      <c r="H23" s="34"/>
      <c r="I23" s="34"/>
      <c r="J23" s="45"/>
      <c r="K23" s="36"/>
      <c r="L23" s="46"/>
      <c r="M23" s="34"/>
    </row>
    <row r="24" spans="1:15" s="53" customFormat="1" ht="12.75" customHeight="1" x14ac:dyDescent="0.25">
      <c r="A24" s="47" t="s">
        <v>175</v>
      </c>
      <c r="B24" s="47"/>
      <c r="C24" s="47"/>
      <c r="D24" s="48">
        <f>SUM(D9:D23)</f>
        <v>0.14720999999999998</v>
      </c>
      <c r="E24" s="49">
        <f>'Oct 07'!$D24*$C$6*$C$2</f>
        <v>20323415.901848387</v>
      </c>
      <c r="F24" s="50"/>
      <c r="G24" s="50"/>
      <c r="H24" s="47"/>
      <c r="I24" s="47"/>
      <c r="J24" s="51"/>
      <c r="K24" s="49">
        <f>SUM(K9:K23)</f>
        <v>20321557.171751563</v>
      </c>
      <c r="L24" s="52">
        <f>'Oct 07'!$K24/$K$2</f>
        <v>0.14075743625695017</v>
      </c>
      <c r="M24" s="47"/>
    </row>
    <row r="25" spans="1:15" s="44" customFormat="1" ht="12.75" customHeight="1" x14ac:dyDescent="0.25">
      <c r="A25" s="34"/>
      <c r="B25" s="34"/>
      <c r="C25" s="34"/>
      <c r="D25" s="35"/>
      <c r="E25" s="36"/>
      <c r="F25" s="36"/>
      <c r="G25" s="37"/>
      <c r="H25" s="34"/>
      <c r="I25" s="34"/>
      <c r="J25" s="45"/>
      <c r="K25" s="36"/>
      <c r="L25" s="40"/>
      <c r="M25" s="34"/>
    </row>
    <row r="26" spans="1:15" s="43" customFormat="1" ht="12.75" customHeight="1" x14ac:dyDescent="0.25">
      <c r="A26" s="54"/>
      <c r="B26" s="47" t="s">
        <v>34</v>
      </c>
      <c r="C26" s="54" t="s">
        <v>35</v>
      </c>
      <c r="D26" s="55">
        <v>2.4534E-2</v>
      </c>
      <c r="E26" s="56">
        <f>'Oct 07'!$D26*$C$6*$C$2</f>
        <v>3387097.9263361753</v>
      </c>
      <c r="F26" s="50">
        <v>18.030002250168799</v>
      </c>
      <c r="G26" s="57">
        <f>'Oct 07'!$E26/'Oct 07'!$F26</f>
        <v>187858.98522583183</v>
      </c>
      <c r="H26" s="54">
        <v>199985</v>
      </c>
      <c r="I26" s="54">
        <v>187859</v>
      </c>
      <c r="J26" s="58">
        <f>I26-H26</f>
        <v>-12126</v>
      </c>
      <c r="K26" s="59">
        <f>'Oct 07'!$F26*'Oct 07'!$I26</f>
        <v>3387098.1927144607</v>
      </c>
      <c r="L26" s="52">
        <f>'Oct 07'!$K26/$K$2</f>
        <v>2.3460764051082009E-2</v>
      </c>
      <c r="M26" s="47"/>
      <c r="O26" s="42"/>
    </row>
    <row r="27" spans="1:15" s="43" customFormat="1" ht="12.75" customHeight="1" x14ac:dyDescent="0.25">
      <c r="A27" s="34"/>
      <c r="B27" s="34"/>
      <c r="C27" s="34"/>
      <c r="D27" s="35"/>
      <c r="E27" s="36"/>
      <c r="F27" s="36"/>
      <c r="G27" s="37"/>
      <c r="H27" s="34"/>
      <c r="I27" s="34"/>
      <c r="J27" s="45"/>
      <c r="K27" s="39"/>
      <c r="L27" s="40"/>
      <c r="M27" s="34"/>
      <c r="O27" s="42"/>
    </row>
    <row r="28" spans="1:15" s="2" customFormat="1" ht="25.5" x14ac:dyDescent="0.2">
      <c r="A28" s="34" t="s">
        <v>176</v>
      </c>
      <c r="B28" s="60" t="s">
        <v>109</v>
      </c>
      <c r="C28" s="61" t="s">
        <v>110</v>
      </c>
      <c r="D28" s="35">
        <v>2.5760000000000002E-2</v>
      </c>
      <c r="E28" s="36">
        <f>'Oct 07'!$D28*$C$6*$C$2</f>
        <v>3556356.182539328</v>
      </c>
      <c r="F28" s="36">
        <v>158650.25</v>
      </c>
      <c r="G28" s="37">
        <f>'Oct 07'!$E28/'Oct 07'!$F28</f>
        <v>22.4163288903694</v>
      </c>
      <c r="H28" s="34">
        <v>24</v>
      </c>
      <c r="I28" s="34">
        <v>22</v>
      </c>
      <c r="J28" s="38">
        <f t="shared" ref="J28:J39" si="1">I28-H28</f>
        <v>-2</v>
      </c>
      <c r="K28" s="39">
        <f>'Oct 07'!$F28*'Oct 07'!$I28</f>
        <v>3490305.5</v>
      </c>
      <c r="L28" s="40">
        <f>'Oct 07'!$K28/$K$2</f>
        <v>2.4175630330950052E-2</v>
      </c>
      <c r="M28" s="62"/>
    </row>
    <row r="29" spans="1:15" s="2" customFormat="1" ht="25.5" x14ac:dyDescent="0.2">
      <c r="A29" s="34" t="s">
        <v>176</v>
      </c>
      <c r="B29" s="60" t="s">
        <v>115</v>
      </c>
      <c r="C29" s="61" t="s">
        <v>116</v>
      </c>
      <c r="D29" s="35">
        <v>2.5760000000000002E-2</v>
      </c>
      <c r="E29" s="36">
        <f>'Oct 07'!$D29*$C$6*$C$2</f>
        <v>3556356.182539328</v>
      </c>
      <c r="F29" s="36">
        <v>217136.83333333299</v>
      </c>
      <c r="G29" s="37">
        <f>'Oct 07'!$E29/'Oct 07'!$F29</f>
        <v>16.378410461019588</v>
      </c>
      <c r="H29" s="34">
        <v>18</v>
      </c>
      <c r="I29" s="34">
        <v>16</v>
      </c>
      <c r="J29" s="38">
        <f t="shared" si="1"/>
        <v>-2</v>
      </c>
      <c r="K29" s="39">
        <f>'Oct 07'!$F29*'Oct 07'!$I29</f>
        <v>3474189.3333333279</v>
      </c>
      <c r="L29" s="40">
        <f>'Oct 07'!$K29/$K$2</f>
        <v>2.4064001567311612E-2</v>
      </c>
      <c r="M29" s="62"/>
    </row>
    <row r="30" spans="1:15" s="2" customFormat="1" ht="25.5" x14ac:dyDescent="0.2">
      <c r="A30" s="34" t="s">
        <v>176</v>
      </c>
      <c r="B30" s="60" t="s">
        <v>121</v>
      </c>
      <c r="C30" s="61" t="s">
        <v>122</v>
      </c>
      <c r="D30" s="35">
        <v>2.5760000000000002E-2</v>
      </c>
      <c r="E30" s="36">
        <f>'Oct 07'!$D30*$C$6*$C$2</f>
        <v>3556356.182539328</v>
      </c>
      <c r="F30" s="36">
        <v>174175.727272727</v>
      </c>
      <c r="G30" s="37">
        <f>'Oct 07'!$E30/'Oct 07'!$F30</f>
        <v>20.418207738961993</v>
      </c>
      <c r="H30" s="34">
        <v>22</v>
      </c>
      <c r="I30" s="34">
        <v>20</v>
      </c>
      <c r="J30" s="38">
        <f t="shared" si="1"/>
        <v>-2</v>
      </c>
      <c r="K30" s="39">
        <f>'Oct 07'!$F30*'Oct 07'!$I30</f>
        <v>3483514.5454545403</v>
      </c>
      <c r="L30" s="40">
        <f>'Oct 07'!$K30/$K$2</f>
        <v>2.4128592727311826E-2</v>
      </c>
      <c r="M30" s="62"/>
    </row>
    <row r="31" spans="1:15" s="2" customFormat="1" ht="25.5" x14ac:dyDescent="0.2">
      <c r="A31" s="34" t="s">
        <v>176</v>
      </c>
      <c r="B31" s="60" t="s">
        <v>124</v>
      </c>
      <c r="C31" s="61" t="s">
        <v>125</v>
      </c>
      <c r="D31" s="35">
        <v>2.5760000000000002E-2</v>
      </c>
      <c r="E31" s="36">
        <f>'Oct 07'!$D31*$C$6*$C$2</f>
        <v>3556356.182539328</v>
      </c>
      <c r="F31" s="36">
        <v>125731.35483871</v>
      </c>
      <c r="G31" s="37">
        <f>'Oct 07'!$E31/'Oct 07'!$F31</f>
        <v>28.285356402159771</v>
      </c>
      <c r="H31" s="34">
        <v>31</v>
      </c>
      <c r="I31" s="34">
        <v>28</v>
      </c>
      <c r="J31" s="38">
        <f t="shared" si="1"/>
        <v>-3</v>
      </c>
      <c r="K31" s="39">
        <f>'Oct 07'!$F31*'Oct 07'!$I31</f>
        <v>3520477.9354838799</v>
      </c>
      <c r="L31" s="40">
        <f>'Oct 07'!$K31/$K$2</f>
        <v>2.4384619958489166E-2</v>
      </c>
      <c r="M31" s="62"/>
    </row>
    <row r="32" spans="1:15" s="2" customFormat="1" ht="25.5" x14ac:dyDescent="0.2">
      <c r="A32" s="34" t="s">
        <v>176</v>
      </c>
      <c r="B32" s="60" t="s">
        <v>127</v>
      </c>
      <c r="C32" s="61" t="s">
        <v>128</v>
      </c>
      <c r="D32" s="35">
        <v>2.5760000000000002E-2</v>
      </c>
      <c r="E32" s="36">
        <f>'Oct 07'!$D32*$C$6*$C$2</f>
        <v>3556356.182539328</v>
      </c>
      <c r="F32" s="36">
        <v>138888.82142857101</v>
      </c>
      <c r="G32" s="37">
        <f>'Oct 07'!$E32/'Oct 07'!$F32</f>
        <v>25.605776951374899</v>
      </c>
      <c r="H32" s="34">
        <v>28</v>
      </c>
      <c r="I32" s="34">
        <v>26</v>
      </c>
      <c r="J32" s="38">
        <f t="shared" si="1"/>
        <v>-2</v>
      </c>
      <c r="K32" s="39">
        <f>'Oct 07'!$F32*'Oct 07'!$I32</f>
        <v>3611109.3571428461</v>
      </c>
      <c r="L32" s="40">
        <f>'Oct 07'!$K32/$K$2</f>
        <v>2.5012379261047532E-2</v>
      </c>
      <c r="M32" s="62"/>
    </row>
    <row r="33" spans="1:15" s="2" customFormat="1" ht="25.5" x14ac:dyDescent="0.2">
      <c r="A33" s="34" t="s">
        <v>176</v>
      </c>
      <c r="B33" s="60" t="s">
        <v>135</v>
      </c>
      <c r="C33" s="61" t="s">
        <v>136</v>
      </c>
      <c r="D33" s="35">
        <v>2.5760000000000002E-2</v>
      </c>
      <c r="E33" s="36">
        <f>'Oct 07'!$D33*$C$6*$C$2</f>
        <v>3556356.182539328</v>
      </c>
      <c r="F33" s="36">
        <v>220831.27777777801</v>
      </c>
      <c r="G33" s="37">
        <f>'Oct 07'!$E33/'Oct 07'!$F33</f>
        <v>16.104404314130178</v>
      </c>
      <c r="H33" s="34">
        <v>18</v>
      </c>
      <c r="I33" s="34">
        <v>16</v>
      </c>
      <c r="J33" s="38">
        <f t="shared" si="1"/>
        <v>-2</v>
      </c>
      <c r="K33" s="39">
        <f>'Oct 07'!$F33*'Oct 07'!$I33</f>
        <v>3533300.4444444482</v>
      </c>
      <c r="L33" s="40">
        <f>'Oct 07'!$K33/$K$2</f>
        <v>2.4473435174391038E-2</v>
      </c>
      <c r="M33" s="62"/>
    </row>
    <row r="34" spans="1:15" s="43" customFormat="1" ht="25.5" customHeight="1" x14ac:dyDescent="0.25">
      <c r="A34" s="34" t="s">
        <v>177</v>
      </c>
      <c r="B34" s="34" t="s">
        <v>178</v>
      </c>
      <c r="C34" s="34" t="s">
        <v>179</v>
      </c>
      <c r="D34" s="35">
        <v>2.5760000000000002E-2</v>
      </c>
      <c r="E34" s="36">
        <f>'Oct 07'!$D34*$C$6*$C$2</f>
        <v>3556356.182539328</v>
      </c>
      <c r="F34" s="36">
        <v>96495.4</v>
      </c>
      <c r="G34" s="37">
        <f>'Oct 07'!$E34/'Oct 07'!$F34</f>
        <v>36.855188771063993</v>
      </c>
      <c r="H34" s="34">
        <v>40</v>
      </c>
      <c r="I34" s="34">
        <v>37</v>
      </c>
      <c r="J34" s="38">
        <f t="shared" si="1"/>
        <v>-3</v>
      </c>
      <c r="K34" s="39">
        <f>'Oct 07'!$F34*'Oct 07'!$I34</f>
        <v>3570329.8</v>
      </c>
      <c r="L34" s="40">
        <f>'Oct 07'!$K34/$K$2</f>
        <v>2.4729919316339166E-2</v>
      </c>
      <c r="M34" s="41"/>
      <c r="O34" s="42"/>
    </row>
    <row r="35" spans="1:15" s="43" customFormat="1" ht="25.5" customHeight="1" x14ac:dyDescent="0.25">
      <c r="A35" s="34" t="s">
        <v>177</v>
      </c>
      <c r="B35" s="34" t="s">
        <v>76</v>
      </c>
      <c r="C35" s="34" t="s">
        <v>77</v>
      </c>
      <c r="D35" s="35">
        <v>2.5760000000000002E-2</v>
      </c>
      <c r="E35" s="36">
        <f>'Oct 07'!$D35*$C$6*$C$2</f>
        <v>3556356.182539328</v>
      </c>
      <c r="F35" s="36">
        <v>113995.82352941199</v>
      </c>
      <c r="G35" s="37">
        <f>'Oct 07'!$E35/'Oct 07'!$F35</f>
        <v>31.197249797680129</v>
      </c>
      <c r="H35" s="34">
        <v>34</v>
      </c>
      <c r="I35" s="34">
        <v>31</v>
      </c>
      <c r="J35" s="38">
        <f t="shared" si="1"/>
        <v>-3</v>
      </c>
      <c r="K35" s="39">
        <f>'Oct 07'!$F35*'Oct 07'!$I35</f>
        <v>3533870.5294117718</v>
      </c>
      <c r="L35" s="40">
        <f>'Oct 07'!$K35/$K$2</f>
        <v>2.4477383872700469E-2</v>
      </c>
      <c r="M35" s="41"/>
    </row>
    <row r="36" spans="1:15" s="43" customFormat="1" ht="25.5" customHeight="1" x14ac:dyDescent="0.25">
      <c r="A36" s="34" t="s">
        <v>177</v>
      </c>
      <c r="B36" s="34" t="s">
        <v>180</v>
      </c>
      <c r="C36" s="34" t="s">
        <v>181</v>
      </c>
      <c r="D36" s="35">
        <v>2.5760000000000002E-2</v>
      </c>
      <c r="E36" s="36">
        <f>'Oct 07'!$D36*$C$6*$C$2</f>
        <v>3556356.182539328</v>
      </c>
      <c r="F36" s="36">
        <v>113858.882352941</v>
      </c>
      <c r="G36" s="37">
        <f>'Oct 07'!$E36/'Oct 07'!$F36</f>
        <v>31.234771579043755</v>
      </c>
      <c r="H36" s="34">
        <v>34</v>
      </c>
      <c r="I36" s="34">
        <v>31</v>
      </c>
      <c r="J36" s="38">
        <f t="shared" si="1"/>
        <v>-3</v>
      </c>
      <c r="K36" s="39">
        <f>'Oct 07'!$F36*'Oct 07'!$I36</f>
        <v>3529625.3529411708</v>
      </c>
      <c r="L36" s="40">
        <f>'Oct 07'!$K36/$K$2</f>
        <v>2.4447979622257952E-2</v>
      </c>
      <c r="M36" s="41"/>
    </row>
    <row r="37" spans="1:15" s="43" customFormat="1" ht="25.5" x14ac:dyDescent="0.25">
      <c r="A37" s="34" t="s">
        <v>177</v>
      </c>
      <c r="B37" s="34" t="s">
        <v>71</v>
      </c>
      <c r="C37" s="34" t="s">
        <v>72</v>
      </c>
      <c r="D37" s="35">
        <v>2.5760000000000002E-2</v>
      </c>
      <c r="E37" s="36">
        <f>'Oct 07'!$D37*$C$6*$C$2</f>
        <v>3556356.182539328</v>
      </c>
      <c r="F37" s="36">
        <v>133484.206896552</v>
      </c>
      <c r="G37" s="37">
        <f>'Oct 07'!$E37/'Oct 07'!$F37</f>
        <v>26.642523975105487</v>
      </c>
      <c r="H37" s="34">
        <v>29</v>
      </c>
      <c r="I37" s="34">
        <v>27</v>
      </c>
      <c r="J37" s="38">
        <f t="shared" si="1"/>
        <v>-2</v>
      </c>
      <c r="K37" s="39">
        <f>'Oct 07'!$F37*'Oct 07'!$I37</f>
        <v>3604073.5862069041</v>
      </c>
      <c r="L37" s="40">
        <f>'Oct 07'!$K37/$K$2</f>
        <v>2.4963645934626515E-2</v>
      </c>
      <c r="M37" s="41"/>
    </row>
    <row r="38" spans="1:15" s="43" customFormat="1" ht="25.5" x14ac:dyDescent="0.25">
      <c r="A38" s="34" t="s">
        <v>177</v>
      </c>
      <c r="B38" s="34" t="s">
        <v>67</v>
      </c>
      <c r="C38" s="34" t="s">
        <v>68</v>
      </c>
      <c r="D38" s="35">
        <v>2.5760000000000002E-2</v>
      </c>
      <c r="E38" s="36">
        <f>'Oct 07'!$D38*$C$6*$C$2</f>
        <v>3556356.182539328</v>
      </c>
      <c r="F38" s="36">
        <v>174967.590909091</v>
      </c>
      <c r="G38" s="37">
        <f>'Oct 07'!$E38/'Oct 07'!$F38</f>
        <v>20.325799561286331</v>
      </c>
      <c r="H38" s="34">
        <v>22</v>
      </c>
      <c r="I38" s="34">
        <v>20</v>
      </c>
      <c r="J38" s="38">
        <f t="shared" si="1"/>
        <v>-2</v>
      </c>
      <c r="K38" s="39">
        <f>'Oct 07'!$F38*'Oct 07'!$I38</f>
        <v>3499351.8181818202</v>
      </c>
      <c r="L38" s="40">
        <f>'Oct 07'!$K38/$K$2</f>
        <v>2.4238289729739022E-2</v>
      </c>
      <c r="M38" s="41"/>
    </row>
    <row r="39" spans="1:15" s="43" customFormat="1" ht="25.5" x14ac:dyDescent="0.25">
      <c r="A39" s="34" t="s">
        <v>177</v>
      </c>
      <c r="B39" s="34" t="s">
        <v>80</v>
      </c>
      <c r="C39" s="34" t="s">
        <v>81</v>
      </c>
      <c r="D39" s="35">
        <v>2.5760000000000002E-2</v>
      </c>
      <c r="E39" s="36">
        <f>'Oct 07'!$D39*$C$6*$C$2</f>
        <v>3556356.182539328</v>
      </c>
      <c r="F39" s="36">
        <v>261109.46666666699</v>
      </c>
      <c r="G39" s="37">
        <f>'Oct 07'!$E39/'Oct 07'!$F39</f>
        <v>13.620173285710017</v>
      </c>
      <c r="H39" s="34">
        <v>15</v>
      </c>
      <c r="I39" s="34">
        <v>14</v>
      </c>
      <c r="J39" s="38">
        <f t="shared" si="1"/>
        <v>-1</v>
      </c>
      <c r="K39" s="39">
        <f>'Oct 07'!$F39*'Oct 07'!$I39</f>
        <v>3655532.5333333379</v>
      </c>
      <c r="L39" s="40">
        <f>'Oct 07'!$K39/$K$2</f>
        <v>2.5320076763660982E-2</v>
      </c>
      <c r="M39" s="41"/>
    </row>
    <row r="40" spans="1:15" s="64" customFormat="1" ht="12.75" x14ac:dyDescent="0.2">
      <c r="A40" s="34"/>
      <c r="B40" s="61"/>
      <c r="C40" s="61"/>
      <c r="D40" s="35"/>
      <c r="E40" s="63"/>
      <c r="F40" s="36"/>
      <c r="G40" s="37"/>
      <c r="H40" s="34"/>
      <c r="I40" s="34"/>
      <c r="J40" s="45"/>
      <c r="K40" s="36"/>
      <c r="L40" s="46"/>
      <c r="M40" s="62"/>
    </row>
    <row r="41" spans="1:15" s="15" customFormat="1" ht="12.75" x14ac:dyDescent="0.2">
      <c r="A41" s="47" t="s">
        <v>182</v>
      </c>
      <c r="B41" s="65"/>
      <c r="C41" s="65"/>
      <c r="D41" s="55">
        <f>SUBTOTAL(9,D28:D40)</f>
        <v>0.30912000000000001</v>
      </c>
      <c r="E41" s="66">
        <f>'Oct 07'!$D41*$C$6*$C$2</f>
        <v>42676274.190471932</v>
      </c>
      <c r="F41" s="67"/>
      <c r="G41" s="68"/>
      <c r="H41" s="54"/>
      <c r="I41" s="54"/>
      <c r="J41" s="58"/>
      <c r="K41" s="66">
        <f>SUM(K28:K40)</f>
        <v>42505680.735934049</v>
      </c>
      <c r="L41" s="69">
        <f>'Oct 07'!$K41/$K$2</f>
        <v>0.29441595425882533</v>
      </c>
      <c r="M41" s="70"/>
    </row>
    <row r="42" spans="1:15" s="64" customFormat="1" ht="12.75" x14ac:dyDescent="0.2">
      <c r="A42" s="34"/>
      <c r="B42" s="61"/>
      <c r="C42" s="61"/>
      <c r="D42" s="35"/>
      <c r="E42" s="63"/>
      <c r="F42" s="36"/>
      <c r="G42" s="37"/>
      <c r="H42" s="34"/>
      <c r="I42" s="34"/>
      <c r="J42" s="45"/>
      <c r="K42" s="36"/>
      <c r="L42" s="40"/>
      <c r="M42" s="62"/>
    </row>
    <row r="43" spans="1:15" s="2" customFormat="1" ht="24.75" customHeight="1" x14ac:dyDescent="0.2">
      <c r="A43" s="34" t="s">
        <v>176</v>
      </c>
      <c r="B43" s="61" t="s">
        <v>183</v>
      </c>
      <c r="C43" s="61" t="s">
        <v>131</v>
      </c>
      <c r="D43" s="35">
        <v>7.1429000000000006E-2</v>
      </c>
      <c r="E43" s="36">
        <f>'Oct 07'!$D43*$C$6*$C$2</f>
        <v>9861295.2547593825</v>
      </c>
      <c r="F43" s="36">
        <v>416350.80769230798</v>
      </c>
      <c r="G43" s="37">
        <f>'Oct 07'!$E43/'Oct 07'!$F43</f>
        <v>23.685063346981874</v>
      </c>
      <c r="H43" s="34">
        <v>26</v>
      </c>
      <c r="I43" s="34">
        <v>26</v>
      </c>
      <c r="J43" s="38">
        <f t="shared" ref="J43:J49" si="2">I43-H43</f>
        <v>0</v>
      </c>
      <c r="K43" s="39">
        <f>'Oct 07'!$F43*'Oct 07'!$I43</f>
        <v>10825121.000000007</v>
      </c>
      <c r="L43" s="40">
        <f>'Oct 07'!$K43/$K$2</f>
        <v>7.4980291434031926E-2</v>
      </c>
      <c r="M43" s="62"/>
    </row>
    <row r="44" spans="1:15" s="43" customFormat="1" ht="25.5" x14ac:dyDescent="0.25">
      <c r="A44" s="34" t="s">
        <v>177</v>
      </c>
      <c r="B44" s="34" t="s">
        <v>82</v>
      </c>
      <c r="C44" s="34" t="s">
        <v>83</v>
      </c>
      <c r="D44" s="35">
        <v>7.1429000000000006E-2</v>
      </c>
      <c r="E44" s="36">
        <f>'Oct 07'!$D44*$C$6*$C$2</f>
        <v>9861295.2547593825</v>
      </c>
      <c r="F44" s="36">
        <v>249400</v>
      </c>
      <c r="G44" s="37">
        <f>'Oct 07'!$E44/'Oct 07'!$F44</f>
        <v>39.540077204327915</v>
      </c>
      <c r="H44" s="34">
        <v>43</v>
      </c>
      <c r="I44" s="34">
        <v>43</v>
      </c>
      <c r="J44" s="38">
        <f t="shared" si="2"/>
        <v>0</v>
      </c>
      <c r="K44" s="39">
        <f>'Oct 07'!$F44*'Oct 07'!$I44</f>
        <v>10724200</v>
      </c>
      <c r="L44" s="40">
        <f>'Oct 07'!$K44/$K$2</f>
        <v>7.428126128076025E-2</v>
      </c>
      <c r="M44" s="41"/>
    </row>
    <row r="45" spans="1:15" s="43" customFormat="1" ht="25.5" x14ac:dyDescent="0.25">
      <c r="A45" s="34" t="s">
        <v>177</v>
      </c>
      <c r="B45" s="34" t="s">
        <v>184</v>
      </c>
      <c r="C45" s="34" t="s">
        <v>105</v>
      </c>
      <c r="D45" s="35">
        <v>7.1429000000000006E-2</v>
      </c>
      <c r="E45" s="36">
        <f>'Oct 07'!$D45*$C$6*$C$2</f>
        <v>9861295.2547593825</v>
      </c>
      <c r="F45" s="36">
        <v>416356.34615384601</v>
      </c>
      <c r="G45" s="37">
        <f>'Oct 07'!$E45/'Oct 07'!$F45</f>
        <v>23.684748283182355</v>
      </c>
      <c r="H45" s="34">
        <v>26</v>
      </c>
      <c r="I45" s="34">
        <v>26</v>
      </c>
      <c r="J45" s="38">
        <f t="shared" si="2"/>
        <v>0</v>
      </c>
      <c r="K45" s="39">
        <f>'Oct 07'!$F45*'Oct 07'!$I45</f>
        <v>10825264.999999996</v>
      </c>
      <c r="L45" s="40">
        <f>'Oct 07'!$K45/$K$2</f>
        <v>7.4981288851240072E-2</v>
      </c>
      <c r="M45" s="41"/>
    </row>
    <row r="46" spans="1:15" s="43" customFormat="1" ht="25.5" x14ac:dyDescent="0.25">
      <c r="A46" s="34" t="s">
        <v>177</v>
      </c>
      <c r="B46" s="34" t="s">
        <v>107</v>
      </c>
      <c r="C46" s="34" t="s">
        <v>108</v>
      </c>
      <c r="D46" s="35">
        <v>7.1429000000000006E-2</v>
      </c>
      <c r="E46" s="36">
        <f>'Oct 07'!$D46*$C$6*$C$2</f>
        <v>9861295.2547593825</v>
      </c>
      <c r="F46" s="36">
        <v>249821.86046511601</v>
      </c>
      <c r="G46" s="37">
        <f>'Oct 07'!$E46/'Oct 07'!$F46</f>
        <v>39.473308045980104</v>
      </c>
      <c r="H46" s="34">
        <v>43</v>
      </c>
      <c r="I46" s="34">
        <v>43</v>
      </c>
      <c r="J46" s="38">
        <f t="shared" si="2"/>
        <v>0</v>
      </c>
      <c r="K46" s="39">
        <f>'Oct 07'!$F46*'Oct 07'!$I46</f>
        <v>10742339.999999989</v>
      </c>
      <c r="L46" s="40">
        <f>'Oct 07'!$K46/$K$2</f>
        <v>7.440690814296276E-2</v>
      </c>
      <c r="M46" s="41"/>
    </row>
    <row r="47" spans="1:15" s="43" customFormat="1" ht="25.5" x14ac:dyDescent="0.25">
      <c r="A47" s="34" t="s">
        <v>177</v>
      </c>
      <c r="B47" s="34" t="s">
        <v>185</v>
      </c>
      <c r="C47" s="34" t="s">
        <v>86</v>
      </c>
      <c r="D47" s="35">
        <v>7.1429000000000006E-2</v>
      </c>
      <c r="E47" s="36">
        <f>'Oct 07'!$D47*$C$6*$C$2</f>
        <v>9861295.2547593825</v>
      </c>
      <c r="F47" s="36">
        <v>161436.388059702</v>
      </c>
      <c r="G47" s="37">
        <f>'Oct 07'!$E47/'Oct 07'!$F47</f>
        <v>61.084711899726742</v>
      </c>
      <c r="H47" s="34">
        <v>67</v>
      </c>
      <c r="I47" s="34">
        <v>67</v>
      </c>
      <c r="J47" s="38">
        <f t="shared" si="2"/>
        <v>0</v>
      </c>
      <c r="K47" s="39">
        <f>'Oct 07'!$F47*'Oct 07'!$I47</f>
        <v>10816238.000000034</v>
      </c>
      <c r="L47" s="40">
        <f>'Oct 07'!$K47/$K$2</f>
        <v>7.4918763259999827E-2</v>
      </c>
      <c r="M47" s="41"/>
    </row>
    <row r="48" spans="1:15" s="43" customFormat="1" ht="25.5" x14ac:dyDescent="0.25">
      <c r="A48" s="34" t="s">
        <v>177</v>
      </c>
      <c r="B48" s="34" t="s">
        <v>186</v>
      </c>
      <c r="C48" s="34" t="s">
        <v>187</v>
      </c>
      <c r="D48" s="35">
        <v>7.1429000000000006E-2</v>
      </c>
      <c r="E48" s="36">
        <f>'Oct 07'!$D48*$C$6*$C$2</f>
        <v>9861295.2547593825</v>
      </c>
      <c r="F48" s="36">
        <v>175633.93442623</v>
      </c>
      <c r="G48" s="37">
        <f>'Oct 07'!$E48/'Oct 07'!$F48</f>
        <v>56.146867557085542</v>
      </c>
      <c r="H48" s="34">
        <v>61</v>
      </c>
      <c r="I48" s="34">
        <v>61</v>
      </c>
      <c r="J48" s="38">
        <f t="shared" si="2"/>
        <v>0</v>
      </c>
      <c r="K48" s="39">
        <f>'Oct 07'!$F48*'Oct 07'!$I48</f>
        <v>10713670.00000003</v>
      </c>
      <c r="L48" s="40">
        <f>'Oct 07'!$K48/$K$2</f>
        <v>7.4208325147409118E-2</v>
      </c>
      <c r="M48" s="41"/>
    </row>
    <row r="49" spans="1:16" s="43" customFormat="1" ht="25.5" x14ac:dyDescent="0.25">
      <c r="A49" s="34" t="s">
        <v>177</v>
      </c>
      <c r="B49" s="34" t="s">
        <v>188</v>
      </c>
      <c r="C49" s="34" t="s">
        <v>189</v>
      </c>
      <c r="D49" s="35">
        <v>7.1429000000000006E-2</v>
      </c>
      <c r="E49" s="36">
        <f>'Oct 07'!$D49*$C$6*$C$2</f>
        <v>9861295.2547593825</v>
      </c>
      <c r="F49" s="36">
        <v>713016.4</v>
      </c>
      <c r="G49" s="37">
        <f>'Oct 07'!$E49/'Oct 07'!$F49</f>
        <v>13.830390513821817</v>
      </c>
      <c r="H49" s="34">
        <v>15</v>
      </c>
      <c r="I49" s="34">
        <v>15</v>
      </c>
      <c r="J49" s="38">
        <f t="shared" si="2"/>
        <v>0</v>
      </c>
      <c r="K49" s="39">
        <f>'Oct 07'!$F49*'Oct 07'!$I49</f>
        <v>10695246</v>
      </c>
      <c r="L49" s="40">
        <f>'Oct 07'!$K49/$K$2</f>
        <v>7.4080711156823437E-2</v>
      </c>
      <c r="M49" s="41"/>
    </row>
    <row r="50" spans="1:16" s="44" customFormat="1" ht="12.75" x14ac:dyDescent="0.25">
      <c r="A50" s="34"/>
      <c r="B50" s="34"/>
      <c r="C50" s="34"/>
      <c r="D50" s="35"/>
      <c r="E50" s="36"/>
      <c r="F50" s="36"/>
      <c r="G50" s="37"/>
      <c r="H50" s="34"/>
      <c r="I50" s="34"/>
      <c r="J50" s="45"/>
      <c r="K50" s="36"/>
      <c r="L50" s="40"/>
      <c r="M50" s="34"/>
    </row>
    <row r="51" spans="1:16" s="53" customFormat="1" ht="25.5" x14ac:dyDescent="0.25">
      <c r="A51" s="47" t="s">
        <v>190</v>
      </c>
      <c r="B51" s="47"/>
      <c r="C51" s="47"/>
      <c r="D51" s="55">
        <f>SUBTOTAL(9,D43:D50)</f>
        <v>0.50000300000000009</v>
      </c>
      <c r="E51" s="49">
        <f>'Oct 07'!$D51*$C$6*$C$2</f>
        <v>69029066.783315673</v>
      </c>
      <c r="F51" s="68"/>
      <c r="G51" s="68"/>
      <c r="H51" s="54"/>
      <c r="I51" s="54"/>
      <c r="J51" s="58"/>
      <c r="K51" s="49">
        <f>SUM(K43:K50)</f>
        <v>75342080.00000006</v>
      </c>
      <c r="L51" s="71">
        <f>'Oct 07'!$K51/$K$2</f>
        <v>0.52185754927322747</v>
      </c>
      <c r="M51" s="47"/>
    </row>
    <row r="52" spans="1:16" s="44" customFormat="1" ht="12.75" x14ac:dyDescent="0.25">
      <c r="A52" s="34"/>
      <c r="B52" s="34"/>
      <c r="C52" s="34"/>
      <c r="D52" s="35"/>
      <c r="E52" s="36"/>
      <c r="F52" s="36"/>
      <c r="G52" s="37"/>
      <c r="H52" s="34"/>
      <c r="I52" s="34"/>
      <c r="J52" s="45"/>
      <c r="K52" s="36"/>
      <c r="L52" s="40"/>
      <c r="M52" s="34"/>
    </row>
    <row r="53" spans="1:16" s="43" customFormat="1" ht="12.75" x14ac:dyDescent="0.25">
      <c r="A53" s="34"/>
      <c r="B53" s="34"/>
      <c r="C53" s="34"/>
      <c r="D53" s="35"/>
      <c r="E53" s="36"/>
      <c r="F53" s="36"/>
      <c r="G53" s="72"/>
      <c r="H53" s="34"/>
      <c r="I53" s="34"/>
      <c r="J53" s="38"/>
      <c r="K53" s="39"/>
      <c r="L53" s="40"/>
      <c r="M53" s="41"/>
    </row>
    <row r="54" spans="1:16" s="43" customFormat="1" ht="25.5" x14ac:dyDescent="0.25">
      <c r="A54" s="34" t="s">
        <v>191</v>
      </c>
      <c r="B54" s="34" t="s">
        <v>192</v>
      </c>
      <c r="C54" s="34" t="s">
        <v>64</v>
      </c>
      <c r="D54" s="35">
        <v>9.810000000000001E-4</v>
      </c>
      <c r="E54" s="36">
        <f>'Oct 07'!$D54*$C$6*$C$2</f>
        <v>135434.2164235668</v>
      </c>
      <c r="F54" s="36">
        <v>43866.666666666701</v>
      </c>
      <c r="G54" s="72">
        <f>'Oct 07'!$E54/'Oct 07'!$F54</f>
        <v>3.0874061494734049</v>
      </c>
      <c r="H54" s="34">
        <v>3</v>
      </c>
      <c r="I54" s="34">
        <v>3</v>
      </c>
      <c r="J54" s="38">
        <f t="shared" ref="J54:J63" si="3">I54-H54</f>
        <v>0</v>
      </c>
      <c r="K54" s="39">
        <f>'Oct 07'!$F54*'Oct 07'!$I54</f>
        <v>131600.00000000012</v>
      </c>
      <c r="L54" s="40">
        <f>'Oct 07'!$K54/$K$2</f>
        <v>9.11528504181949E-4</v>
      </c>
      <c r="M54" s="41"/>
    </row>
    <row r="55" spans="1:16" s="43" customFormat="1" ht="25.5" x14ac:dyDescent="0.25">
      <c r="A55" s="34" t="s">
        <v>191</v>
      </c>
      <c r="B55" s="34" t="s">
        <v>193</v>
      </c>
      <c r="C55" s="34" t="s">
        <v>74</v>
      </c>
      <c r="D55" s="35">
        <v>9.810000000000001E-4</v>
      </c>
      <c r="E55" s="36">
        <f>'Oct 07'!$D55*$C$6*$C$2</f>
        <v>135434.2164235668</v>
      </c>
      <c r="F55" s="36">
        <v>163569</v>
      </c>
      <c r="G55" s="72">
        <f>'Oct 07'!$E55/'Oct 07'!$F55</f>
        <v>0.82799440250638445</v>
      </c>
      <c r="H55" s="34">
        <v>1</v>
      </c>
      <c r="I55" s="34">
        <v>1</v>
      </c>
      <c r="J55" s="38">
        <f t="shared" si="3"/>
        <v>0</v>
      </c>
      <c r="K55" s="39">
        <f>'Oct 07'!$F55*'Oct 07'!$I55</f>
        <v>163569</v>
      </c>
      <c r="L55" s="40">
        <f>'Oct 07'!$K55/$K$2</f>
        <v>1.1329620509159353E-3</v>
      </c>
      <c r="M55" s="41"/>
      <c r="P55" s="43" t="s">
        <v>194</v>
      </c>
    </row>
    <row r="56" spans="1:16" s="43" customFormat="1" ht="25.5" x14ac:dyDescent="0.25">
      <c r="A56" s="34" t="s">
        <v>191</v>
      </c>
      <c r="B56" s="34" t="s">
        <v>195</v>
      </c>
      <c r="C56" s="34" t="s">
        <v>93</v>
      </c>
      <c r="D56" s="35">
        <v>9.810000000000001E-4</v>
      </c>
      <c r="E56" s="36">
        <f>'Oct 07'!$D56*$C$6*$C$2</f>
        <v>135434.2164235668</v>
      </c>
      <c r="F56" s="36">
        <v>87685.5</v>
      </c>
      <c r="G56" s="72">
        <f>'Oct 07'!$E56/'Oct 07'!$F56</f>
        <v>1.544545180486703</v>
      </c>
      <c r="H56" s="34">
        <v>2</v>
      </c>
      <c r="I56" s="34">
        <v>2</v>
      </c>
      <c r="J56" s="38">
        <f t="shared" si="3"/>
        <v>0</v>
      </c>
      <c r="K56" s="39">
        <f>'Oct 07'!$F56*'Oct 07'!$I56</f>
        <v>175371</v>
      </c>
      <c r="L56" s="40">
        <f>'Oct 07'!$K56/$K$2</f>
        <v>1.2147087029399121E-3</v>
      </c>
      <c r="M56" s="41"/>
    </row>
    <row r="57" spans="1:16" s="43" customFormat="1" ht="25.5" x14ac:dyDescent="0.25">
      <c r="A57" s="34" t="s">
        <v>191</v>
      </c>
      <c r="B57" s="34" t="s">
        <v>94</v>
      </c>
      <c r="C57" s="34" t="s">
        <v>95</v>
      </c>
      <c r="D57" s="35">
        <v>9.810000000000001E-4</v>
      </c>
      <c r="E57" s="36">
        <f>'Oct 07'!$D57*$C$6*$C$2</f>
        <v>135434.2164235668</v>
      </c>
      <c r="F57" s="36">
        <v>237052</v>
      </c>
      <c r="G57" s="72">
        <f>'Oct 07'!$E57/'Oct 07'!$F57</f>
        <v>0.57132703551780539</v>
      </c>
      <c r="H57" s="34">
        <v>1</v>
      </c>
      <c r="I57" s="34">
        <v>1</v>
      </c>
      <c r="J57" s="38">
        <f t="shared" si="3"/>
        <v>0</v>
      </c>
      <c r="K57" s="39">
        <f>'Oct 07'!$F57*'Oct 07'!$I57</f>
        <v>237052</v>
      </c>
      <c r="L57" s="40">
        <f>'Oct 07'!$K57/$K$2</f>
        <v>1.6419426669706625E-3</v>
      </c>
      <c r="M57" s="41"/>
    </row>
    <row r="58" spans="1:16" s="43" customFormat="1" ht="25.5" x14ac:dyDescent="0.25">
      <c r="A58" s="34" t="s">
        <v>191</v>
      </c>
      <c r="B58" s="34" t="s">
        <v>196</v>
      </c>
      <c r="C58" s="34" t="s">
        <v>197</v>
      </c>
      <c r="D58" s="35">
        <v>9.810000000000001E-4</v>
      </c>
      <c r="E58" s="36">
        <f>'Oct 07'!$D58*$C$6*$C$2</f>
        <v>135434.2164235668</v>
      </c>
      <c r="F58" s="36">
        <v>44402.333333333299</v>
      </c>
      <c r="G58" s="72">
        <f>'Oct 07'!$E58/'Oct 07'!$F58</f>
        <v>3.0501598960317455</v>
      </c>
      <c r="H58" s="34">
        <v>3</v>
      </c>
      <c r="I58" s="34">
        <v>3</v>
      </c>
      <c r="J58" s="38">
        <f t="shared" si="3"/>
        <v>0</v>
      </c>
      <c r="K58" s="39">
        <f>'Oct 07'!$F58*'Oct 07'!$I58</f>
        <v>133206.99999999988</v>
      </c>
      <c r="L58" s="40">
        <f>'Oct 07'!$K58/$K$2</f>
        <v>9.2265940316538502E-4</v>
      </c>
      <c r="M58" s="41"/>
    </row>
    <row r="59" spans="1:16" s="43" customFormat="1" ht="25.5" x14ac:dyDescent="0.25">
      <c r="A59" s="34" t="s">
        <v>191</v>
      </c>
      <c r="B59" s="34" t="s">
        <v>198</v>
      </c>
      <c r="C59" s="34" t="s">
        <v>199</v>
      </c>
      <c r="D59" s="35">
        <v>9.810000000000001E-4</v>
      </c>
      <c r="E59" s="36">
        <f>'Oct 07'!$D59*$C$6*$C$2</f>
        <v>135434.2164235668</v>
      </c>
      <c r="F59" s="36">
        <v>43674.666666666701</v>
      </c>
      <c r="G59" s="72">
        <f>'Oct 07'!$E59/'Oct 07'!$F59</f>
        <v>3.1009788227401094</v>
      </c>
      <c r="H59" s="34">
        <v>3</v>
      </c>
      <c r="I59" s="34">
        <v>3</v>
      </c>
      <c r="J59" s="38">
        <f t="shared" si="3"/>
        <v>0</v>
      </c>
      <c r="K59" s="39">
        <f>'Oct 07'!$F59*'Oct 07'!$I59</f>
        <v>131024.0000000001</v>
      </c>
      <c r="L59" s="40">
        <f>'Oct 07'!$K59/$K$2</f>
        <v>9.0753883534905528E-4</v>
      </c>
      <c r="M59" s="41"/>
    </row>
    <row r="60" spans="1:16" s="43" customFormat="1" ht="25.5" x14ac:dyDescent="0.25">
      <c r="A60" s="34" t="s">
        <v>191</v>
      </c>
      <c r="B60" s="34" t="s">
        <v>200</v>
      </c>
      <c r="C60" s="34" t="s">
        <v>99</v>
      </c>
      <c r="D60" s="35">
        <v>9.810000000000001E-4</v>
      </c>
      <c r="E60" s="36">
        <f>'Oct 07'!$D60*$C$6*$C$2</f>
        <v>135434.2164235668</v>
      </c>
      <c r="F60" s="36">
        <v>12154.090909090901</v>
      </c>
      <c r="G60" s="72">
        <f>'Oct 07'!$E60/'Oct 07'!$F60</f>
        <v>11.143097203779018</v>
      </c>
      <c r="H60" s="34">
        <v>11</v>
      </c>
      <c r="I60" s="34">
        <v>11</v>
      </c>
      <c r="J60" s="38">
        <f t="shared" si="3"/>
        <v>0</v>
      </c>
      <c r="K60" s="39">
        <f>'Oct 07'!$F60*'Oct 07'!$I60</f>
        <v>133694.99999999991</v>
      </c>
      <c r="L60" s="40">
        <f>'Oct 07'!$K60/$K$2</f>
        <v>9.2603953925992017E-4</v>
      </c>
      <c r="M60" s="41"/>
    </row>
    <row r="61" spans="1:16" s="43" customFormat="1" ht="25.5" x14ac:dyDescent="0.25">
      <c r="A61" s="34" t="s">
        <v>191</v>
      </c>
      <c r="B61" s="34" t="s">
        <v>201</v>
      </c>
      <c r="C61" s="34" t="s">
        <v>102</v>
      </c>
      <c r="D61" s="35">
        <v>9.810000000000001E-4</v>
      </c>
      <c r="E61" s="36">
        <f>'Oct 07'!$D61*$C$6*$C$2</f>
        <v>135434.2164235668</v>
      </c>
      <c r="F61" s="36">
        <v>90494.5</v>
      </c>
      <c r="G61" s="72">
        <f>'Oct 07'!$E61/'Oct 07'!$F61</f>
        <v>1.4966016324038125</v>
      </c>
      <c r="H61" s="34">
        <v>2</v>
      </c>
      <c r="I61" s="34">
        <v>2</v>
      </c>
      <c r="J61" s="38">
        <f t="shared" si="3"/>
        <v>0</v>
      </c>
      <c r="K61" s="39">
        <f>'Oct 07'!$F61*'Oct 07'!$I61</f>
        <v>180989</v>
      </c>
      <c r="L61" s="40">
        <f>'Oct 07'!$K61/$K$2</f>
        <v>1.253621827077406E-3</v>
      </c>
      <c r="M61" s="41"/>
    </row>
    <row r="62" spans="1:16" s="2" customFormat="1" ht="25.5" x14ac:dyDescent="0.2">
      <c r="A62" s="34" t="s">
        <v>191</v>
      </c>
      <c r="B62" s="61" t="s">
        <v>202</v>
      </c>
      <c r="C62" s="61" t="s">
        <v>133</v>
      </c>
      <c r="D62" s="35">
        <v>9.810000000000001E-4</v>
      </c>
      <c r="E62" s="36">
        <f>'Oct 07'!$D62*$C$6*$C$2</f>
        <v>135434.2164235668</v>
      </c>
      <c r="F62" s="36">
        <v>58819</v>
      </c>
      <c r="G62" s="72">
        <f>'Oct 07'!$E62/'Oct 07'!$F62</f>
        <v>2.3025589762418064</v>
      </c>
      <c r="H62" s="34">
        <v>2</v>
      </c>
      <c r="I62" s="34">
        <v>2</v>
      </c>
      <c r="J62" s="38">
        <f t="shared" si="3"/>
        <v>0</v>
      </c>
      <c r="K62" s="39">
        <f>'Oct 07'!$F62*'Oct 07'!$I62</f>
        <v>117638</v>
      </c>
      <c r="L62" s="40">
        <f>'Oct 07'!$K62/$K$2</f>
        <v>8.1482059403462028E-4</v>
      </c>
      <c r="M62" s="62"/>
    </row>
    <row r="63" spans="1:16" s="43" customFormat="1" ht="25.5" x14ac:dyDescent="0.25">
      <c r="A63" s="34" t="s">
        <v>191</v>
      </c>
      <c r="B63" s="34" t="s">
        <v>203</v>
      </c>
      <c r="C63" s="34" t="s">
        <v>204</v>
      </c>
      <c r="D63" s="35">
        <v>9.810000000000001E-4</v>
      </c>
      <c r="E63" s="36">
        <f>'Oct 07'!$D63*$C$6*$C$2</f>
        <v>135434.2164235668</v>
      </c>
      <c r="F63" s="36">
        <v>118892</v>
      </c>
      <c r="G63" s="72">
        <f>'Oct 07'!$E63/'Oct 07'!$F63</f>
        <v>1.1391364971870841</v>
      </c>
      <c r="H63" s="34">
        <v>1</v>
      </c>
      <c r="I63" s="34">
        <v>1</v>
      </c>
      <c r="J63" s="38">
        <f t="shared" si="3"/>
        <v>0</v>
      </c>
      <c r="K63" s="39">
        <f>'Oct 07'!$F63*'Oct 07'!$I63</f>
        <v>118892</v>
      </c>
      <c r="L63" s="40">
        <f>'Oct 07'!$K63/$K$2</f>
        <v>8.2350643555623246E-4</v>
      </c>
      <c r="M63" s="41"/>
    </row>
    <row r="64" spans="1:16" s="43" customFormat="1" ht="12.75" x14ac:dyDescent="0.25">
      <c r="A64" s="34"/>
      <c r="B64" s="34"/>
      <c r="C64" s="34"/>
      <c r="D64" s="35"/>
      <c r="E64" s="36"/>
      <c r="F64" s="36"/>
      <c r="G64" s="37"/>
      <c r="H64" s="34"/>
      <c r="I64" s="34"/>
      <c r="J64" s="41"/>
      <c r="K64" s="39"/>
      <c r="L64" s="40"/>
      <c r="M64" s="41"/>
    </row>
    <row r="65" spans="1:13" s="43" customFormat="1" ht="12.75" x14ac:dyDescent="0.25">
      <c r="A65" s="34"/>
      <c r="B65" s="34"/>
      <c r="C65" s="34"/>
      <c r="D65" s="35"/>
      <c r="E65" s="36"/>
      <c r="F65" s="36"/>
      <c r="G65" s="37"/>
      <c r="H65" s="34"/>
      <c r="I65" s="34"/>
      <c r="J65" s="41"/>
      <c r="K65" s="39"/>
      <c r="L65" s="40"/>
      <c r="M65" s="41"/>
    </row>
    <row r="66" spans="1:13" s="43" customFormat="1" ht="12.75" x14ac:dyDescent="0.25">
      <c r="A66" s="34"/>
      <c r="B66" s="34"/>
      <c r="C66" s="34"/>
      <c r="D66" s="35"/>
      <c r="E66" s="36"/>
      <c r="F66" s="36"/>
      <c r="G66" s="37"/>
      <c r="H66" s="34"/>
      <c r="I66" s="34"/>
      <c r="J66" s="41"/>
      <c r="K66" s="39"/>
      <c r="L66" s="40"/>
      <c r="M66" s="41"/>
    </row>
    <row r="67" spans="1:13" s="43" customFormat="1" ht="12.75" x14ac:dyDescent="0.25">
      <c r="A67" s="34"/>
      <c r="B67" s="34"/>
      <c r="C67" s="34"/>
      <c r="D67" s="35"/>
      <c r="E67" s="36"/>
      <c r="F67" s="36"/>
      <c r="G67" s="37"/>
      <c r="H67" s="34"/>
      <c r="I67" s="34"/>
      <c r="J67" s="41"/>
      <c r="K67" s="39"/>
      <c r="L67" s="40"/>
      <c r="M67" s="41"/>
    </row>
    <row r="68" spans="1:13" s="43" customFormat="1" ht="12.75" x14ac:dyDescent="0.25">
      <c r="A68" s="34"/>
      <c r="B68" s="34"/>
      <c r="C68" s="34"/>
      <c r="D68" s="35"/>
      <c r="E68" s="36"/>
      <c r="F68" s="36"/>
      <c r="G68" s="37"/>
      <c r="H68" s="34"/>
      <c r="I68" s="34"/>
      <c r="J68" s="41"/>
      <c r="K68" s="39"/>
      <c r="L68" s="40"/>
      <c r="M68" s="41"/>
    </row>
    <row r="69" spans="1:13" s="43" customFormat="1" ht="12.75" x14ac:dyDescent="0.25">
      <c r="A69" s="34"/>
      <c r="B69" s="34"/>
      <c r="C69" s="34"/>
      <c r="D69" s="35"/>
      <c r="E69" s="36"/>
      <c r="F69" s="36"/>
      <c r="G69" s="37"/>
      <c r="H69" s="34"/>
      <c r="I69" s="34"/>
      <c r="J69" s="41"/>
      <c r="K69" s="39"/>
      <c r="L69" s="40"/>
      <c r="M69" s="41"/>
    </row>
    <row r="70" spans="1:13" s="43" customFormat="1" ht="12.75" x14ac:dyDescent="0.25">
      <c r="A70" s="34"/>
      <c r="B70" s="34"/>
      <c r="C70" s="34"/>
      <c r="D70" s="35"/>
      <c r="E70" s="36"/>
      <c r="F70" s="36"/>
      <c r="G70" s="37"/>
      <c r="H70" s="34"/>
      <c r="I70" s="34"/>
      <c r="J70" s="41"/>
      <c r="K70" s="39"/>
      <c r="L70" s="40"/>
      <c r="M70" s="41"/>
    </row>
    <row r="71" spans="1:13" s="15" customFormat="1" ht="12.75" x14ac:dyDescent="0.2">
      <c r="A71" s="47" t="s">
        <v>205</v>
      </c>
      <c r="B71" s="65"/>
      <c r="C71" s="65"/>
      <c r="D71" s="73">
        <f>SUM(D54:D70)</f>
        <v>9.8099999999999993E-3</v>
      </c>
      <c r="E71" s="49">
        <f>SUM(E53:E70)</f>
        <v>1354342.1642356683</v>
      </c>
      <c r="F71" s="68"/>
      <c r="G71" s="68"/>
      <c r="H71" s="65"/>
      <c r="I71" s="65"/>
      <c r="J71" s="47"/>
      <c r="K71" s="49">
        <f>SUM(K53:K70)</f>
        <v>1523037</v>
      </c>
      <c r="L71" s="52">
        <f>'Oct 07'!$K71/$K$2</f>
        <v>1.0549328559451078E-2</v>
      </c>
      <c r="M71" s="59"/>
    </row>
    <row r="72" spans="1:13" s="2" customFormat="1" ht="12.75" x14ac:dyDescent="0.2">
      <c r="A72" s="34"/>
      <c r="B72" s="61"/>
      <c r="C72" s="61"/>
      <c r="D72" s="74"/>
      <c r="E72" s="36"/>
      <c r="F72" s="36"/>
      <c r="G72" s="37"/>
      <c r="H72" s="61"/>
      <c r="I72" s="61"/>
      <c r="J72" s="34"/>
      <c r="K72" s="34"/>
      <c r="L72" s="40"/>
      <c r="M72" s="62"/>
    </row>
    <row r="73" spans="1:13" s="43" customFormat="1" ht="25.5" x14ac:dyDescent="0.25">
      <c r="A73" s="47" t="s">
        <v>206</v>
      </c>
      <c r="B73" s="54" t="s">
        <v>207</v>
      </c>
      <c r="C73" s="54" t="s">
        <v>119</v>
      </c>
      <c r="D73" s="55">
        <v>9.3189999999999992E-3</v>
      </c>
      <c r="E73" s="56">
        <f>'Oct 07'!$D73*$C$6*$C$2</f>
        <v>1286556.0273712731</v>
      </c>
      <c r="F73" s="56">
        <v>30796</v>
      </c>
      <c r="G73" s="57">
        <f>'Oct 07'!$E73/'Oct 07'!$F73</f>
        <v>41.77672513869571</v>
      </c>
      <c r="H73" s="54">
        <v>44</v>
      </c>
      <c r="I73" s="54">
        <v>42</v>
      </c>
      <c r="J73" s="75">
        <f>I73-H73</f>
        <v>-2</v>
      </c>
      <c r="K73" s="56">
        <f>'Oct 07'!$F73*'Oct 07'!$I73</f>
        <v>1293432</v>
      </c>
      <c r="L73" s="76">
        <f>'Oct 07'!$K73/$K$2</f>
        <v>8.958967600464024E-3</v>
      </c>
      <c r="M73" s="54"/>
    </row>
    <row r="74" spans="1:13" s="2" customFormat="1" ht="12.75" x14ac:dyDescent="0.2">
      <c r="A74" s="34"/>
      <c r="B74" s="61"/>
      <c r="C74" s="61"/>
      <c r="D74" s="74"/>
      <c r="E74" s="36"/>
      <c r="F74" s="36"/>
      <c r="G74" s="37"/>
      <c r="H74" s="61"/>
      <c r="I74" s="61"/>
      <c r="J74" s="34"/>
      <c r="K74" s="34"/>
      <c r="L74" s="40"/>
      <c r="M74" s="62"/>
    </row>
    <row r="75" spans="1:13" s="2" customFormat="1" ht="12.75" x14ac:dyDescent="0.2">
      <c r="A75" s="34"/>
      <c r="B75" s="61"/>
      <c r="C75" s="61"/>
      <c r="D75" s="77"/>
      <c r="E75" s="63"/>
      <c r="F75" s="36"/>
      <c r="G75" s="37"/>
      <c r="H75" s="61"/>
      <c r="I75" s="61"/>
      <c r="J75" s="34"/>
      <c r="K75" s="34"/>
      <c r="L75" s="40"/>
      <c r="M75" s="62"/>
    </row>
    <row r="76" spans="1:13" s="15" customFormat="1" ht="12.75" x14ac:dyDescent="0.2">
      <c r="A76" s="47" t="s">
        <v>208</v>
      </c>
      <c r="B76" s="65"/>
      <c r="C76" s="65"/>
      <c r="D76" s="65"/>
      <c r="E76" s="78"/>
      <c r="F76" s="78"/>
      <c r="G76" s="47"/>
      <c r="H76" s="65"/>
      <c r="I76" s="65"/>
      <c r="J76" s="65"/>
      <c r="K76" s="78">
        <f>SUM(K24,K26,K41,K51,K71,K73)</f>
        <v>144372885.10040015</v>
      </c>
      <c r="L76" s="52">
        <f>'Oct 07'!$K76/$K$2</f>
        <v>1.0000000000000002</v>
      </c>
      <c r="M76" s="65"/>
    </row>
    <row r="77" spans="1:13" s="2" customFormat="1" ht="12.75" x14ac:dyDescent="0.2">
      <c r="A77" s="62"/>
      <c r="B77" s="62"/>
      <c r="C77" s="62"/>
      <c r="D77" s="79"/>
      <c r="E77" s="80"/>
      <c r="F77" s="36"/>
      <c r="G77" s="81"/>
      <c r="H77" s="62"/>
      <c r="I77" s="62"/>
      <c r="J77" s="62"/>
      <c r="K77" s="62"/>
      <c r="L77" s="40"/>
      <c r="M77" s="62"/>
    </row>
    <row r="78" spans="1:13" s="2" customFormat="1" ht="12.75" x14ac:dyDescent="0.2">
      <c r="A78" s="62"/>
      <c r="B78" s="62"/>
      <c r="C78" s="62"/>
      <c r="D78" s="79"/>
      <c r="E78" s="80"/>
      <c r="F78" s="36"/>
      <c r="G78" s="81"/>
      <c r="H78" s="62"/>
      <c r="I78" s="62"/>
      <c r="J78" s="62"/>
      <c r="K78" s="62"/>
      <c r="L78" s="40"/>
      <c r="M78" s="62"/>
    </row>
    <row r="79" spans="1:13" s="2" customFormat="1" ht="12.75" x14ac:dyDescent="0.2">
      <c r="A79" s="62"/>
      <c r="B79" s="62"/>
      <c r="C79" s="62"/>
      <c r="D79" s="79"/>
      <c r="E79" s="80"/>
      <c r="F79" s="36"/>
      <c r="G79" s="81"/>
      <c r="H79" s="62"/>
      <c r="I79" s="62"/>
      <c r="J79" s="62"/>
      <c r="K79" s="62"/>
      <c r="L79" s="40"/>
      <c r="M79" s="62"/>
    </row>
    <row r="80" spans="1:13" s="2" customFormat="1" ht="12.75" x14ac:dyDescent="0.2">
      <c r="A80" s="62"/>
      <c r="B80" s="62"/>
      <c r="C80" s="62"/>
      <c r="D80" s="79"/>
      <c r="E80" s="80"/>
      <c r="F80" s="36"/>
      <c r="G80" s="81"/>
      <c r="H80" s="62"/>
      <c r="I80" s="62"/>
      <c r="J80" s="62"/>
      <c r="K80" s="62"/>
      <c r="L80" s="40"/>
      <c r="M80" s="62"/>
    </row>
    <row r="81" spans="1:13" s="2" customFormat="1" ht="12.75" x14ac:dyDescent="0.2">
      <c r="A81" s="62"/>
      <c r="B81" s="62"/>
      <c r="C81" s="62"/>
      <c r="D81" s="79"/>
      <c r="E81" s="80"/>
      <c r="F81" s="36"/>
      <c r="G81" s="81"/>
      <c r="H81" s="62"/>
      <c r="I81" s="62"/>
      <c r="J81" s="62"/>
      <c r="K81" s="62"/>
      <c r="L81" s="40"/>
      <c r="M81" s="62"/>
    </row>
    <row r="82" spans="1:13" s="2" customFormat="1" ht="12.75" x14ac:dyDescent="0.2">
      <c r="A82" s="62"/>
      <c r="B82" s="62"/>
      <c r="C82" s="62"/>
      <c r="D82" s="79"/>
      <c r="E82" s="80"/>
      <c r="F82" s="36"/>
      <c r="G82" s="81"/>
      <c r="H82" s="62"/>
      <c r="I82" s="62"/>
      <c r="J82" s="62"/>
      <c r="K82" s="62"/>
      <c r="L82" s="40"/>
      <c r="M82" s="62"/>
    </row>
    <row r="83" spans="1:13" s="2" customFormat="1" ht="12.75" x14ac:dyDescent="0.2">
      <c r="A83" s="62"/>
      <c r="B83" s="62"/>
      <c r="C83" s="62"/>
      <c r="D83" s="79"/>
      <c r="E83" s="80"/>
      <c r="F83" s="36"/>
      <c r="G83" s="81"/>
      <c r="H83" s="62"/>
      <c r="I83" s="62"/>
      <c r="J83" s="62"/>
      <c r="K83" s="62"/>
      <c r="L83" s="40"/>
      <c r="M83" s="62"/>
    </row>
    <row r="84" spans="1:13" s="2" customFormat="1" ht="12.75" x14ac:dyDescent="0.2">
      <c r="A84" s="62"/>
      <c r="B84" s="62"/>
      <c r="C84" s="62"/>
      <c r="D84" s="79"/>
      <c r="E84" s="80"/>
      <c r="F84" s="36"/>
      <c r="G84" s="81"/>
      <c r="H84" s="62"/>
      <c r="I84" s="62"/>
      <c r="J84" s="62"/>
      <c r="K84" s="62"/>
      <c r="L84" s="40"/>
      <c r="M84" s="62"/>
    </row>
    <row r="85" spans="1:13" s="2" customFormat="1" ht="12.75" x14ac:dyDescent="0.2">
      <c r="A85" s="62"/>
      <c r="B85" s="62"/>
      <c r="C85" s="62"/>
      <c r="D85" s="79"/>
      <c r="E85" s="80"/>
      <c r="F85" s="36"/>
      <c r="G85" s="81"/>
      <c r="H85" s="62"/>
      <c r="I85" s="62"/>
      <c r="J85" s="62"/>
      <c r="K85" s="62"/>
      <c r="L85" s="40"/>
      <c r="M85" s="62"/>
    </row>
    <row r="86" spans="1:13" s="2" customFormat="1" ht="12.75" x14ac:dyDescent="0.2"/>
    <row r="87" spans="1:13" s="2" customFormat="1" ht="12.75" x14ac:dyDescent="0.2"/>
    <row r="89" spans="1:13" s="2" customFormat="1" ht="12.75" x14ac:dyDescent="0.2">
      <c r="A89" s="82"/>
      <c r="B89" s="82"/>
      <c r="E89" s="82"/>
      <c r="F89" s="82"/>
      <c r="G89" s="82"/>
      <c r="H89" s="83"/>
      <c r="M89" s="82"/>
    </row>
    <row r="90" spans="1:13" s="2" customFormat="1" ht="12.75" x14ac:dyDescent="0.2">
      <c r="A90" s="82"/>
      <c r="B90" s="82"/>
      <c r="E90" s="82"/>
      <c r="F90" s="82"/>
      <c r="G90" s="82"/>
      <c r="H90" s="83"/>
      <c r="M90" s="82"/>
    </row>
    <row r="91" spans="1:13" s="2" customFormat="1" ht="12.75" x14ac:dyDescent="0.2">
      <c r="A91" s="84"/>
      <c r="B91" s="84"/>
    </row>
    <row r="92" spans="1:13" s="2" customFormat="1" ht="12.75" x14ac:dyDescent="0.2">
      <c r="A92" s="85"/>
      <c r="B92" s="85"/>
      <c r="E92" s="85"/>
      <c r="F92" s="84"/>
      <c r="G92" s="84"/>
      <c r="M92" s="86"/>
    </row>
    <row r="93" spans="1:13" s="2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H93"/>
  <sheetViews>
    <sheetView zoomScale="125" zoomScaleNormal="125" workbookViewId="0">
      <pane xSplit="2" topLeftCell="C1" activePane="topRight" state="frozen"/>
      <selection pane="topRight" activeCell="F10" sqref="F10"/>
    </sheetView>
  </sheetViews>
  <sheetFormatPr defaultColWidth="9.140625" defaultRowHeight="15" x14ac:dyDescent="0.25"/>
  <cols>
    <col min="1" max="2" width="15.140625" style="2" customWidth="1"/>
    <col min="3" max="3" width="29.28515625" style="2" customWidth="1"/>
    <col min="4" max="4" width="14.85546875" style="2" customWidth="1"/>
    <col min="5" max="5" width="27.42578125" style="2" customWidth="1"/>
    <col min="6" max="7" width="13.7109375" style="2" customWidth="1"/>
    <col min="8" max="8" width="16.5703125" style="2" customWidth="1"/>
    <col min="9" max="9" width="15.5703125" style="2" customWidth="1"/>
    <col min="10" max="10" width="13.42578125" customWidth="1"/>
    <col min="11" max="11" width="23.5703125" customWidth="1"/>
    <col min="12" max="12" width="13.42578125" customWidth="1"/>
    <col min="13" max="13" width="22.5703125" style="2" customWidth="1"/>
    <col min="14" max="16" width="10.85546875" style="2" customWidth="1"/>
    <col min="17" max="17" width="11.28515625" style="2" customWidth="1"/>
    <col min="18" max="1022" width="9.140625" style="2"/>
  </cols>
  <sheetData>
    <row r="1" spans="1:17" s="2" customFormat="1" ht="25.5" x14ac:dyDescent="0.2">
      <c r="A1" s="3"/>
      <c r="B1" s="3" t="s">
        <v>138</v>
      </c>
      <c r="C1" s="4">
        <v>44112</v>
      </c>
      <c r="D1" s="5"/>
      <c r="E1" s="6" t="s">
        <v>139</v>
      </c>
      <c r="F1" s="7"/>
      <c r="G1" s="8"/>
      <c r="K1" s="9" t="s">
        <v>140</v>
      </c>
      <c r="L1" s="9" t="s">
        <v>141</v>
      </c>
      <c r="M1" s="10" t="s">
        <v>142</v>
      </c>
    </row>
    <row r="2" spans="1:17" x14ac:dyDescent="0.25">
      <c r="A2" s="3"/>
      <c r="B2" s="3" t="s">
        <v>143</v>
      </c>
      <c r="C2" s="11">
        <v>7.8650000000000002</v>
      </c>
      <c r="D2" s="12"/>
      <c r="E2" s="13">
        <f>SUM(E24,E41,E51,E71,E26,E73)</f>
        <v>148862328.66505003</v>
      </c>
      <c r="F2" s="14"/>
      <c r="G2" s="15"/>
      <c r="H2" s="12"/>
      <c r="I2" s="12"/>
      <c r="J2" s="12"/>
      <c r="K2" s="13">
        <f>SUM(K24,K41,K51,K71,K26,K73)</f>
        <v>149677292.47480616</v>
      </c>
      <c r="L2" s="16">
        <f>SUM(L51,L71,L41,L24,L26,L73)</f>
        <v>1</v>
      </c>
      <c r="M2" s="17">
        <f>K2/$C$6</f>
        <v>7.9080578402287012</v>
      </c>
      <c r="N2" s="18"/>
    </row>
    <row r="3" spans="1:17" ht="26.25" x14ac:dyDescent="0.25">
      <c r="A3" s="3"/>
      <c r="B3" s="3" t="s">
        <v>144</v>
      </c>
      <c r="C3" s="19">
        <v>18927187.370000001</v>
      </c>
      <c r="D3" s="20"/>
      <c r="E3" s="6" t="s">
        <v>145</v>
      </c>
      <c r="F3" s="14"/>
      <c r="G3" s="15"/>
      <c r="H3" s="12"/>
      <c r="I3" s="12"/>
      <c r="J3" s="12"/>
      <c r="K3" s="6" t="s">
        <v>145</v>
      </c>
      <c r="L3" s="12"/>
      <c r="M3" s="10" t="s">
        <v>146</v>
      </c>
      <c r="N3" s="21"/>
    </row>
    <row r="4" spans="1:17" x14ac:dyDescent="0.25">
      <c r="A4" s="3"/>
      <c r="B4" s="3" t="s">
        <v>147</v>
      </c>
      <c r="C4" s="19">
        <v>0</v>
      </c>
      <c r="D4" s="20"/>
      <c r="E4" s="13">
        <f>SUM(E24,E71,E26)</f>
        <v>28452503.464737002</v>
      </c>
      <c r="F4" s="14"/>
      <c r="G4" s="15"/>
      <c r="H4" s="12"/>
      <c r="I4" s="12"/>
      <c r="J4" s="12"/>
      <c r="K4" s="13">
        <f>SUM(K24,K26,K71)</f>
        <v>28525185.018352576</v>
      </c>
      <c r="L4" s="12"/>
      <c r="M4" s="17">
        <f>K4/$C$6</f>
        <v>1.5071011059765598</v>
      </c>
      <c r="N4" s="21"/>
    </row>
    <row r="5" spans="1:17" x14ac:dyDescent="0.25">
      <c r="A5" s="3"/>
      <c r="B5" s="3" t="s">
        <v>148</v>
      </c>
      <c r="C5" s="19">
        <v>0</v>
      </c>
      <c r="D5" s="20"/>
      <c r="E5" s="14"/>
      <c r="F5" s="14"/>
      <c r="G5" s="22">
        <f>SUM(D24,D26,D41,D51,D71,D73)</f>
        <v>1</v>
      </c>
      <c r="H5" s="12"/>
      <c r="I5" s="12"/>
      <c r="J5" s="12"/>
      <c r="K5" s="12"/>
      <c r="L5" s="12"/>
      <c r="M5" s="12"/>
      <c r="N5" s="21"/>
    </row>
    <row r="6" spans="1:17" x14ac:dyDescent="0.25">
      <c r="A6" s="3"/>
      <c r="B6" s="3" t="s">
        <v>149</v>
      </c>
      <c r="C6" s="19">
        <f>C3+C4-C5</f>
        <v>18927187.370000001</v>
      </c>
      <c r="D6" s="20"/>
      <c r="E6" s="14"/>
      <c r="F6" s="14"/>
      <c r="G6" s="15"/>
      <c r="H6" s="12"/>
      <c r="I6" s="12"/>
      <c r="J6" s="12"/>
      <c r="K6" s="12"/>
      <c r="L6" s="12"/>
      <c r="M6" s="12"/>
      <c r="N6" s="21"/>
    </row>
    <row r="7" spans="1:17" x14ac:dyDescent="0.25">
      <c r="A7" s="23"/>
      <c r="B7" s="24"/>
      <c r="C7" s="24"/>
      <c r="D7" s="25"/>
      <c r="E7" s="26"/>
      <c r="F7" s="26"/>
      <c r="G7" s="26"/>
      <c r="H7" s="27"/>
      <c r="I7" s="27"/>
      <c r="J7" s="27"/>
      <c r="K7" s="12"/>
      <c r="L7" s="12"/>
      <c r="M7" s="12"/>
      <c r="N7" s="21"/>
    </row>
    <row r="8" spans="1:17" s="32" customFormat="1" ht="38.25" x14ac:dyDescent="0.2">
      <c r="A8" s="28" t="s">
        <v>150</v>
      </c>
      <c r="B8" s="28" t="s">
        <v>151</v>
      </c>
      <c r="C8" s="29" t="s">
        <v>1</v>
      </c>
      <c r="D8" s="29" t="s">
        <v>152</v>
      </c>
      <c r="E8" s="29" t="s">
        <v>153</v>
      </c>
      <c r="F8" s="29" t="s">
        <v>154</v>
      </c>
      <c r="G8" s="29" t="s">
        <v>155</v>
      </c>
      <c r="H8" s="29" t="s">
        <v>156</v>
      </c>
      <c r="I8" s="29" t="s">
        <v>157</v>
      </c>
      <c r="J8" s="29" t="s">
        <v>158</v>
      </c>
      <c r="K8" s="30" t="s">
        <v>159</v>
      </c>
      <c r="L8" s="30" t="s">
        <v>160</v>
      </c>
      <c r="M8" s="30" t="s">
        <v>161</v>
      </c>
      <c r="N8" s="31"/>
      <c r="Q8" s="33"/>
    </row>
    <row r="9" spans="1:17" s="43" customFormat="1" ht="12.75" x14ac:dyDescent="0.25">
      <c r="A9" s="34" t="s">
        <v>162</v>
      </c>
      <c r="B9" s="34" t="s">
        <v>46</v>
      </c>
      <c r="C9" s="34" t="s">
        <v>47</v>
      </c>
      <c r="D9" s="35">
        <v>1.1202E-2</v>
      </c>
      <c r="E9" s="36">
        <f>'Oct 08'!$D9*$C$6*$C$2</f>
        <v>1667555.8057058903</v>
      </c>
      <c r="F9" s="36">
        <v>563.88995398773</v>
      </c>
      <c r="G9" s="37">
        <f>'Oct 08'!$E9/'Oct 08'!$F9</f>
        <v>2957.2362371651252</v>
      </c>
      <c r="H9" s="34">
        <v>2608</v>
      </c>
      <c r="I9" s="34">
        <f>ROUND(Table13895845679910111213144562678910111213141516171819202134567[[#This Row],[Target Quantity]],0)</f>
        <v>2957</v>
      </c>
      <c r="J9" s="38">
        <f t="shared" ref="J9:J22" si="0">I9-H9</f>
        <v>349</v>
      </c>
      <c r="K9" s="39">
        <f>'Oct 08'!$F9*'Oct 08'!$I9</f>
        <v>1667422.5939417176</v>
      </c>
      <c r="L9" s="40">
        <f>'Oct 08'!$K9/$K$2</f>
        <v>1.1140117290820048E-2</v>
      </c>
      <c r="M9" s="41"/>
      <c r="N9" s="42"/>
      <c r="O9" s="87"/>
    </row>
    <row r="10" spans="1:17" s="43" customFormat="1" ht="12.75" customHeight="1" x14ac:dyDescent="0.25">
      <c r="A10" s="34" t="s">
        <v>162</v>
      </c>
      <c r="B10" s="34" t="s">
        <v>55</v>
      </c>
      <c r="C10" s="34" t="s">
        <v>56</v>
      </c>
      <c r="D10" s="35">
        <v>1.1202E-2</v>
      </c>
      <c r="E10" s="36">
        <f>'Oct 08'!$D10*$C$6*$C$2</f>
        <v>1667555.8057058903</v>
      </c>
      <c r="F10" s="36">
        <v>429.459862385321</v>
      </c>
      <c r="G10" s="37">
        <f>'Oct 08'!$E10/'Oct 08'!$F10</f>
        <v>3882.9142179757928</v>
      </c>
      <c r="H10" s="34">
        <v>3488</v>
      </c>
      <c r="I10" s="34">
        <f>ROUND(Table13895845679910111213144562678910111213141516171819202134567[[#This Row],[Target Quantity]],0)</f>
        <v>3883</v>
      </c>
      <c r="J10" s="38">
        <f t="shared" si="0"/>
        <v>395</v>
      </c>
      <c r="K10" s="39">
        <f>'Oct 08'!$F10*'Oct 08'!$I10</f>
        <v>1667592.6456422014</v>
      </c>
      <c r="L10" s="40">
        <f>'Oct 08'!$K10/$K$2</f>
        <v>1.1141253413057911E-2</v>
      </c>
      <c r="M10" s="41"/>
    </row>
    <row r="11" spans="1:17" s="43" customFormat="1" ht="12.75" customHeight="1" x14ac:dyDescent="0.25">
      <c r="A11" s="34" t="s">
        <v>162</v>
      </c>
      <c r="B11" s="34" t="s">
        <v>37</v>
      </c>
      <c r="C11" s="34" t="s">
        <v>38</v>
      </c>
      <c r="D11" s="35">
        <v>1.1202E-2</v>
      </c>
      <c r="E11" s="36">
        <f>'Oct 08'!$D11*$C$6*$C$2</f>
        <v>1667555.8057058903</v>
      </c>
      <c r="F11" s="36">
        <v>78.620022691663493</v>
      </c>
      <c r="G11" s="37">
        <f>'Oct 08'!$E11/'Oct 08'!$F11</f>
        <v>21210.319567647621</v>
      </c>
      <c r="H11" s="34">
        <v>18509</v>
      </c>
      <c r="I11" s="34">
        <f>ROUND(Table13895845679910111213144562678910111213141516171819202134567[[#This Row],[Target Quantity]],0)</f>
        <v>21210</v>
      </c>
      <c r="J11" s="38">
        <f t="shared" si="0"/>
        <v>2701</v>
      </c>
      <c r="K11" s="39">
        <f>'Oct 08'!$F11*'Oct 08'!$I11</f>
        <v>1667530.6812901828</v>
      </c>
      <c r="L11" s="40">
        <f>'Oct 08'!$K11/$K$2</f>
        <v>1.1140839426734441E-2</v>
      </c>
      <c r="M11" s="41"/>
    </row>
    <row r="12" spans="1:17" s="44" customFormat="1" ht="12.75" customHeight="1" x14ac:dyDescent="0.25">
      <c r="A12" s="34" t="s">
        <v>162</v>
      </c>
      <c r="B12" s="34" t="s">
        <v>23</v>
      </c>
      <c r="C12" s="34" t="s">
        <v>24</v>
      </c>
      <c r="D12" s="35">
        <v>1.1202E-2</v>
      </c>
      <c r="E12" s="36">
        <f>'Oct 08'!$D12*$C$6*$C$2</f>
        <v>1667555.8057058903</v>
      </c>
      <c r="F12" s="36">
        <v>225</v>
      </c>
      <c r="G12" s="37">
        <f>'Oct 08'!$E12/'Oct 08'!$F12</f>
        <v>7411.3591364706235</v>
      </c>
      <c r="H12" s="34">
        <v>6562</v>
      </c>
      <c r="I12" s="34">
        <f>ROUND(Table13895845679910111213144562678910111213141516171819202134567[[#This Row],[Target Quantity]],0)</f>
        <v>7411</v>
      </c>
      <c r="J12" s="38">
        <f t="shared" si="0"/>
        <v>849</v>
      </c>
      <c r="K12" s="39">
        <f>'Oct 08'!$F12*'Oct 08'!$I12</f>
        <v>1667475</v>
      </c>
      <c r="L12" s="40">
        <f>'Oct 08'!$K12/$K$2</f>
        <v>1.1140467417799338E-2</v>
      </c>
      <c r="M12" s="34"/>
    </row>
    <row r="13" spans="1:17" s="44" customFormat="1" ht="12.75" customHeight="1" x14ac:dyDescent="0.25">
      <c r="A13" s="34" t="s">
        <v>162</v>
      </c>
      <c r="B13" s="34" t="s">
        <v>60</v>
      </c>
      <c r="C13" s="34" t="s">
        <v>61</v>
      </c>
      <c r="D13" s="35">
        <v>1.1202E-2</v>
      </c>
      <c r="E13" s="36">
        <f>'Oct 08'!$D13*$C$6*$C$2</f>
        <v>1667555.8057058903</v>
      </c>
      <c r="F13" s="36">
        <v>486.40013227513202</v>
      </c>
      <c r="G13" s="37">
        <f>'Oct 08'!$E13/'Oct 08'!$F13</f>
        <v>3428.3621550551679</v>
      </c>
      <c r="H13" s="34">
        <v>3024</v>
      </c>
      <c r="I13" s="34">
        <f>ROUND(Table13895845679910111213144562678910111213141516171819202134567[[#This Row],[Target Quantity]],0)</f>
        <v>3428</v>
      </c>
      <c r="J13" s="38">
        <f t="shared" si="0"/>
        <v>404</v>
      </c>
      <c r="K13" s="39">
        <f>'Oct 08'!$F13*'Oct 08'!$I13</f>
        <v>1667379.6534391525</v>
      </c>
      <c r="L13" s="40">
        <f>'Oct 08'!$K13/$K$2</f>
        <v>1.1139830403598512E-2</v>
      </c>
      <c r="M13" s="34"/>
    </row>
    <row r="14" spans="1:17" s="44" customFormat="1" ht="12.75" customHeight="1" x14ac:dyDescent="0.25">
      <c r="A14" s="34" t="s">
        <v>162</v>
      </c>
      <c r="B14" s="34" t="s">
        <v>163</v>
      </c>
      <c r="C14" s="34" t="s">
        <v>164</v>
      </c>
      <c r="D14" s="35">
        <v>1.1202E-2</v>
      </c>
      <c r="E14" s="36">
        <f>'Oct 08'!$D14*$C$6*$C$2</f>
        <v>1667555.8057058903</v>
      </c>
      <c r="F14" s="36">
        <v>3202.7204301075299</v>
      </c>
      <c r="G14" s="37">
        <f>'Oct 08'!$E14/'Oct 08'!$F14</f>
        <v>520.66855103238061</v>
      </c>
      <c r="H14" s="34">
        <v>465</v>
      </c>
      <c r="I14" s="34">
        <f>ROUND(Table13895845679910111213144562678910111213141516171819202134567[[#This Row],[Target Quantity]],0)</f>
        <v>521</v>
      </c>
      <c r="J14" s="38">
        <f t="shared" si="0"/>
        <v>56</v>
      </c>
      <c r="K14" s="39">
        <f>'Oct 08'!$F14*'Oct 08'!$I14</f>
        <v>1668617.344086023</v>
      </c>
      <c r="L14" s="40">
        <f>'Oct 08'!$K14/$K$2</f>
        <v>1.1148099464498842E-2</v>
      </c>
      <c r="M14" s="34"/>
    </row>
    <row r="15" spans="1:17" s="44" customFormat="1" ht="12.75" customHeight="1" x14ac:dyDescent="0.25">
      <c r="A15" s="34" t="s">
        <v>162</v>
      </c>
      <c r="B15" s="34" t="s">
        <v>52</v>
      </c>
      <c r="C15" s="34" t="s">
        <v>53</v>
      </c>
      <c r="D15" s="35">
        <v>1.1202E-2</v>
      </c>
      <c r="E15" s="36">
        <f>'Oct 08'!$D15*$C$6*$C$2</f>
        <v>1667555.8057058903</v>
      </c>
      <c r="F15" s="36">
        <v>195.02005883926199</v>
      </c>
      <c r="G15" s="37">
        <f>'Oct 08'!$E15/'Oct 08'!$F15</f>
        <v>8550.6886605972722</v>
      </c>
      <c r="H15" s="34">
        <v>7478</v>
      </c>
      <c r="I15" s="34">
        <f>ROUND(Table13895845679910111213144562678910111213141516171819202134567[[#This Row],[Target Quantity]],0)</f>
        <v>8551</v>
      </c>
      <c r="J15" s="38">
        <f t="shared" si="0"/>
        <v>1073</v>
      </c>
      <c r="K15" s="39">
        <f>'Oct 08'!$F15*'Oct 08'!$I15</f>
        <v>1667616.5231345294</v>
      </c>
      <c r="L15" s="40">
        <f>'Oct 08'!$K15/$K$2</f>
        <v>1.1141412939542746E-2</v>
      </c>
      <c r="M15" s="34"/>
    </row>
    <row r="16" spans="1:17" s="44" customFormat="1" ht="12.75" customHeight="1" x14ac:dyDescent="0.25">
      <c r="A16" s="34" t="s">
        <v>162</v>
      </c>
      <c r="B16" s="34" t="s">
        <v>165</v>
      </c>
      <c r="C16" s="34" t="s">
        <v>166</v>
      </c>
      <c r="D16" s="35">
        <v>1.1202E-2</v>
      </c>
      <c r="E16" s="36">
        <f>'Oct 08'!$D16*$C$6*$C$2</f>
        <v>1667555.8057058903</v>
      </c>
      <c r="F16" s="36">
        <v>292.70996797437903</v>
      </c>
      <c r="G16" s="37">
        <f>'Oct 08'!$E16/'Oct 08'!$F16</f>
        <v>5696.9559910985054</v>
      </c>
      <c r="H16" s="34">
        <v>4996</v>
      </c>
      <c r="I16" s="34">
        <f>ROUND(Table13895845679910111213144562678910111213141516171819202134567[[#This Row],[Target Quantity]],0)</f>
        <v>5697</v>
      </c>
      <c r="J16" s="38">
        <f t="shared" si="0"/>
        <v>701</v>
      </c>
      <c r="K16" s="39">
        <f>'Oct 08'!$F16*'Oct 08'!$I16</f>
        <v>1667568.6875500374</v>
      </c>
      <c r="L16" s="40">
        <f>'Oct 08'!$K16/$K$2</f>
        <v>1.1141093348082337E-2</v>
      </c>
      <c r="M16" s="34"/>
    </row>
    <row r="17" spans="1:15" s="44" customFormat="1" ht="12.75" customHeight="1" x14ac:dyDescent="0.25">
      <c r="A17" s="34" t="s">
        <v>162</v>
      </c>
      <c r="B17" s="34" t="s">
        <v>43</v>
      </c>
      <c r="C17" s="34" t="s">
        <v>44</v>
      </c>
      <c r="D17" s="35">
        <v>1.1202E-2</v>
      </c>
      <c r="E17" s="36">
        <f>'Oct 08'!$D17*$C$6*$C$2</f>
        <v>1667555.8057058903</v>
      </c>
      <c r="F17" s="36">
        <v>1145</v>
      </c>
      <c r="G17" s="37">
        <f>'Oct 08'!$E17/'Oct 08'!$F17</f>
        <v>1456.380616337022</v>
      </c>
      <c r="H17" s="34">
        <v>1330</v>
      </c>
      <c r="I17" s="34">
        <f>ROUND(Table13895845679910111213144562678910111213141516171819202134567[[#This Row],[Target Quantity]],0)</f>
        <v>1456</v>
      </c>
      <c r="J17" s="38">
        <f t="shared" si="0"/>
        <v>126</v>
      </c>
      <c r="K17" s="39">
        <f>'Oct 08'!$F17*'Oct 08'!$I17</f>
        <v>1667120</v>
      </c>
      <c r="L17" s="40">
        <f>'Oct 08'!$K17/$K$2</f>
        <v>1.1138095648547433E-2</v>
      </c>
      <c r="M17" s="34"/>
    </row>
    <row r="18" spans="1:15" s="44" customFormat="1" ht="12.75" customHeight="1" x14ac:dyDescent="0.25">
      <c r="A18" s="34" t="s">
        <v>162</v>
      </c>
      <c r="B18" s="34" t="s">
        <v>167</v>
      </c>
      <c r="C18" s="34" t="s">
        <v>168</v>
      </c>
      <c r="D18" s="35">
        <v>1.1202E-2</v>
      </c>
      <c r="E18" s="36">
        <f>'Oct 08'!$D18*$C$6*$C$2</f>
        <v>1667555.8057058903</v>
      </c>
      <c r="F18" s="36">
        <v>175</v>
      </c>
      <c r="G18" s="37">
        <f>'Oct 08'!$E18/'Oct 08'!$F18</f>
        <v>9528.8903183193725</v>
      </c>
      <c r="H18" s="34">
        <v>8572</v>
      </c>
      <c r="I18" s="34">
        <f>ROUND(Table13895845679910111213144562678910111213141516171819202134567[[#This Row],[Target Quantity]],0)</f>
        <v>9529</v>
      </c>
      <c r="J18" s="38">
        <f t="shared" si="0"/>
        <v>957</v>
      </c>
      <c r="K18" s="39">
        <f>'Oct 08'!$F18*'Oct 08'!$I18</f>
        <v>1667575</v>
      </c>
      <c r="L18" s="40">
        <f>'Oct 08'!$K18/$K$2</f>
        <v>1.1141135521813958E-2</v>
      </c>
      <c r="M18" s="34"/>
    </row>
    <row r="19" spans="1:15" s="44" customFormat="1" ht="12.75" customHeight="1" x14ac:dyDescent="0.25">
      <c r="A19" s="34" t="s">
        <v>162</v>
      </c>
      <c r="B19" s="34" t="s">
        <v>28</v>
      </c>
      <c r="C19" s="34" t="s">
        <v>29</v>
      </c>
      <c r="D19" s="35">
        <v>1.1202E-2</v>
      </c>
      <c r="E19" s="36">
        <f>'Oct 08'!$D19*$C$6*$C$2</f>
        <v>1667555.8057058903</v>
      </c>
      <c r="F19" s="36">
        <v>268.260046436864</v>
      </c>
      <c r="G19" s="37">
        <f>'Oct 08'!$E19/'Oct 08'!$F19</f>
        <v>6216.1914450363583</v>
      </c>
      <c r="H19" s="34">
        <v>5599</v>
      </c>
      <c r="I19" s="34">
        <f>ROUND(Table13895845679910111213144562678910111213141516171819202134567[[#This Row],[Target Quantity]],0)</f>
        <v>6216</v>
      </c>
      <c r="J19" s="38">
        <f t="shared" si="0"/>
        <v>617</v>
      </c>
      <c r="K19" s="39">
        <f>'Oct 08'!$F19*'Oct 08'!$I19</f>
        <v>1667504.4486515466</v>
      </c>
      <c r="L19" s="40">
        <f>'Oct 08'!$K19/$K$2</f>
        <v>1.1140664165422573E-2</v>
      </c>
      <c r="M19" s="34"/>
    </row>
    <row r="20" spans="1:15" s="44" customFormat="1" ht="12.75" customHeight="1" x14ac:dyDescent="0.25">
      <c r="A20" s="34" t="s">
        <v>162</v>
      </c>
      <c r="B20" s="34" t="s">
        <v>169</v>
      </c>
      <c r="C20" s="34" t="s">
        <v>170</v>
      </c>
      <c r="D20" s="35">
        <v>1.1202E-2</v>
      </c>
      <c r="E20" s="36">
        <f>'Oct 08'!$D20*$C$6*$C$2</f>
        <v>1667555.8057058903</v>
      </c>
      <c r="F20" s="36">
        <v>201.02997387598001</v>
      </c>
      <c r="G20" s="37">
        <f>'Oct 08'!$E20/'Oct 08'!$F20</f>
        <v>8295.0605501975715</v>
      </c>
      <c r="H20" s="34">
        <v>7273</v>
      </c>
      <c r="I20" s="34">
        <f>ROUND(Table13895845679910111213144562678910111213141516171819202134567[[#This Row],[Target Quantity]],0)</f>
        <v>8295</v>
      </c>
      <c r="J20" s="38">
        <f t="shared" si="0"/>
        <v>1022</v>
      </c>
      <c r="K20" s="39">
        <f>'Oct 08'!$F20*'Oct 08'!$I20</f>
        <v>1667543.6333012541</v>
      </c>
      <c r="L20" s="40">
        <f>'Oct 08'!$K20/$K$2</f>
        <v>1.1140925959640384E-2</v>
      </c>
      <c r="M20" s="34"/>
    </row>
    <row r="21" spans="1:15" s="44" customFormat="1" ht="12.75" customHeight="1" x14ac:dyDescent="0.25">
      <c r="A21" s="34" t="s">
        <v>162</v>
      </c>
      <c r="B21" s="34" t="s">
        <v>173</v>
      </c>
      <c r="C21" s="34" t="s">
        <v>174</v>
      </c>
      <c r="D21" s="35">
        <v>1.1202E-2</v>
      </c>
      <c r="E21" s="36">
        <f>'Oct 08'!$D21*$C$6*$C$2</f>
        <v>1667555.8057058903</v>
      </c>
      <c r="F21" s="36">
        <v>87.400023586296399</v>
      </c>
      <c r="G21" s="37">
        <f>'Oct 08'!$E21/'Oct 08'!$F21</f>
        <v>19079.580728709887</v>
      </c>
      <c r="H21" s="34">
        <v>16959</v>
      </c>
      <c r="I21" s="34">
        <f>ROUND(Table13895845679910111213144562678910111213141516171819202134567[[#This Row],[Target Quantity]],0)</f>
        <v>19080</v>
      </c>
      <c r="J21" s="38">
        <f t="shared" si="0"/>
        <v>2121</v>
      </c>
      <c r="K21" s="39">
        <f>'Oct 08'!$F21*'Oct 08'!$I21</f>
        <v>1667592.4500265352</v>
      </c>
      <c r="L21" s="40">
        <f>'Oct 08'!$K21/$K$2</f>
        <v>1.1141252106141792E-2</v>
      </c>
      <c r="M21" s="34"/>
    </row>
    <row r="22" spans="1:15" s="44" customFormat="1" ht="12.75" customHeight="1" x14ac:dyDescent="0.25">
      <c r="A22" s="34" t="s">
        <v>162</v>
      </c>
      <c r="B22" s="34" t="s">
        <v>19</v>
      </c>
      <c r="C22" s="34" t="s">
        <v>20</v>
      </c>
      <c r="D22" s="35">
        <v>1.1202E-2</v>
      </c>
      <c r="E22" s="36">
        <f>'Oct 08'!$D22*$C$6*$C$2</f>
        <v>1667555.8057058903</v>
      </c>
      <c r="F22" s="36">
        <v>1278.6796536796501</v>
      </c>
      <c r="G22" s="37">
        <f>'Oct 08'!$E22/'Oct 08'!$F22</f>
        <v>1304.1232031081227</v>
      </c>
      <c r="H22" s="34">
        <v>1155</v>
      </c>
      <c r="I22" s="34">
        <f>ROUND(Table13895845679910111213144562678910111213141516171819202134567[[#This Row],[Target Quantity]],0)</f>
        <v>1304</v>
      </c>
      <c r="J22" s="38">
        <f t="shared" si="0"/>
        <v>149</v>
      </c>
      <c r="K22" s="39">
        <f>'Oct 08'!$F22*'Oct 08'!$I22</f>
        <v>1667398.2683982637</v>
      </c>
      <c r="L22" s="40">
        <f>'Oct 08'!$K22/$K$2</f>
        <v>1.1139954770887655E-2</v>
      </c>
      <c r="M22" s="34"/>
    </row>
    <row r="23" spans="1:15" s="44" customFormat="1" ht="12.75" customHeight="1" x14ac:dyDescent="0.25">
      <c r="A23" s="34"/>
      <c r="B23" s="34"/>
      <c r="C23" s="34"/>
      <c r="D23" s="35"/>
      <c r="E23" s="36"/>
      <c r="F23" s="36"/>
      <c r="G23" s="37"/>
      <c r="H23" s="34"/>
      <c r="I23" s="34"/>
      <c r="J23" s="45"/>
      <c r="K23" s="36"/>
      <c r="L23" s="46"/>
      <c r="M23" s="34"/>
    </row>
    <row r="24" spans="1:15" s="53" customFormat="1" ht="12.75" customHeight="1" x14ac:dyDescent="0.25">
      <c r="A24" s="47" t="s">
        <v>175</v>
      </c>
      <c r="B24" s="47"/>
      <c r="C24" s="47"/>
      <c r="D24" s="48">
        <f>SUM(D9:D23)</f>
        <v>0.156828</v>
      </c>
      <c r="E24" s="49">
        <f>'Oct 08'!$D24*$C$6*$C$2</f>
        <v>23345781.279882461</v>
      </c>
      <c r="F24" s="50"/>
      <c r="G24" s="50"/>
      <c r="H24" s="47"/>
      <c r="I24" s="47"/>
      <c r="J24" s="51"/>
      <c r="K24" s="49">
        <f>SUM(K9:K23)</f>
        <v>23345936.929461446</v>
      </c>
      <c r="L24" s="52">
        <f>'Oct 08'!$K24/$K$2</f>
        <v>0.15597514187658798</v>
      </c>
      <c r="M24" s="47"/>
    </row>
    <row r="25" spans="1:15" s="44" customFormat="1" ht="12.75" customHeight="1" x14ac:dyDescent="0.25">
      <c r="A25" s="34"/>
      <c r="B25" s="34"/>
      <c r="C25" s="34"/>
      <c r="D25" s="35"/>
      <c r="E25" s="36"/>
      <c r="F25" s="36"/>
      <c r="G25" s="37"/>
      <c r="H25" s="34"/>
      <c r="I25" s="34"/>
      <c r="J25" s="45"/>
      <c r="K25" s="36"/>
      <c r="L25" s="40"/>
      <c r="M25" s="34"/>
    </row>
    <row r="26" spans="1:15" s="43" customFormat="1" ht="12.75" customHeight="1" x14ac:dyDescent="0.25">
      <c r="A26" s="54"/>
      <c r="B26" s="47" t="s">
        <v>34</v>
      </c>
      <c r="C26" s="54" t="s">
        <v>35</v>
      </c>
      <c r="D26" s="55">
        <v>2.4504999999999999E-2</v>
      </c>
      <c r="E26" s="56">
        <f>'Oct 08'!$D26*$C$6*$C$2</f>
        <v>3647871.3639370506</v>
      </c>
      <c r="F26" s="50">
        <v>18.040003406810399</v>
      </c>
      <c r="G26" s="57">
        <f>'Oct 08'!$E26/'Oct 08'!$F26</f>
        <v>202210.12611116908</v>
      </c>
      <c r="H26" s="54">
        <v>187859</v>
      </c>
      <c r="I26" s="54">
        <v>202210</v>
      </c>
      <c r="J26" s="58">
        <f>I26-H26</f>
        <v>14351</v>
      </c>
      <c r="K26" s="59">
        <f>'Oct 08'!$F26*'Oct 08'!$I26</f>
        <v>3647869.0888911309</v>
      </c>
      <c r="L26" s="52">
        <f>'Oct 08'!$K26/$K$2</f>
        <v>2.4371559830995367E-2</v>
      </c>
      <c r="M26" s="47"/>
      <c r="O26" s="42"/>
    </row>
    <row r="27" spans="1:15" s="43" customFormat="1" ht="12.75" customHeight="1" x14ac:dyDescent="0.25">
      <c r="A27" s="34"/>
      <c r="B27" s="34"/>
      <c r="C27" s="34"/>
      <c r="D27" s="35"/>
      <c r="E27" s="36"/>
      <c r="F27" s="36"/>
      <c r="G27" s="37"/>
      <c r="H27" s="34"/>
      <c r="I27" s="34"/>
      <c r="J27" s="45"/>
      <c r="K27" s="39"/>
      <c r="L27" s="40"/>
      <c r="M27" s="34"/>
      <c r="O27" s="42"/>
    </row>
    <row r="28" spans="1:15" s="2" customFormat="1" ht="25.5" x14ac:dyDescent="0.2">
      <c r="A28" s="34" t="s">
        <v>176</v>
      </c>
      <c r="B28" s="60" t="s">
        <v>109</v>
      </c>
      <c r="C28" s="61" t="s">
        <v>110</v>
      </c>
      <c r="D28" s="35">
        <v>2.4913000000000001E-2</v>
      </c>
      <c r="E28" s="36">
        <f>'Oct 08'!$D28*$C$6*$C$2</f>
        <v>3708607.1940323911</v>
      </c>
      <c r="F28" s="36">
        <v>158525.863636364</v>
      </c>
      <c r="G28" s="37">
        <f>'Oct 08'!$E28/'Oct 08'!$F28</f>
        <v>23.394335214217243</v>
      </c>
      <c r="H28" s="34">
        <v>22</v>
      </c>
      <c r="I28" s="34">
        <v>23</v>
      </c>
      <c r="J28" s="38">
        <f t="shared" ref="J28:J39" si="1">I28-H28</f>
        <v>1</v>
      </c>
      <c r="K28" s="39">
        <f>'Oct 08'!$F28*'Oct 08'!$I28</f>
        <v>3646094.8636363717</v>
      </c>
      <c r="L28" s="40">
        <f>'Oct 08'!$K28/$K$2</f>
        <v>2.4359706160839902E-2</v>
      </c>
      <c r="M28" s="62"/>
    </row>
    <row r="29" spans="1:15" s="2" customFormat="1" ht="25.5" x14ac:dyDescent="0.2">
      <c r="A29" s="34" t="s">
        <v>176</v>
      </c>
      <c r="B29" s="60" t="s">
        <v>115</v>
      </c>
      <c r="C29" s="61" t="s">
        <v>116</v>
      </c>
      <c r="D29" s="35">
        <v>2.4913000000000001E-2</v>
      </c>
      <c r="E29" s="36">
        <f>'Oct 08'!$D29*$C$6*$C$2</f>
        <v>3708607.1940323911</v>
      </c>
      <c r="F29" s="36">
        <v>216832.8125</v>
      </c>
      <c r="G29" s="37">
        <f>'Oct 08'!$E29/'Oct 08'!$F29</f>
        <v>17.103533138151732</v>
      </c>
      <c r="H29" s="34">
        <v>16</v>
      </c>
      <c r="I29" s="34">
        <v>17</v>
      </c>
      <c r="J29" s="38">
        <f t="shared" si="1"/>
        <v>1</v>
      </c>
      <c r="K29" s="39">
        <f>'Oct 08'!$F29*'Oct 08'!$I29</f>
        <v>3686157.8125</v>
      </c>
      <c r="L29" s="40">
        <f>'Oct 08'!$K29/$K$2</f>
        <v>2.4627368330573308E-2</v>
      </c>
      <c r="M29" s="62"/>
    </row>
    <row r="30" spans="1:15" s="2" customFormat="1" ht="25.5" x14ac:dyDescent="0.2">
      <c r="A30" s="34" t="s">
        <v>176</v>
      </c>
      <c r="B30" s="60" t="s">
        <v>121</v>
      </c>
      <c r="C30" s="61" t="s">
        <v>122</v>
      </c>
      <c r="D30" s="35">
        <v>2.4913000000000001E-2</v>
      </c>
      <c r="E30" s="36">
        <f>'Oct 08'!$D30*$C$6*$C$2</f>
        <v>3708607.1940323911</v>
      </c>
      <c r="F30" s="36">
        <v>173956.25</v>
      </c>
      <c r="G30" s="37">
        <f>'Oct 08'!$E30/'Oct 08'!$F30</f>
        <v>21.319194878208695</v>
      </c>
      <c r="H30" s="34">
        <v>20</v>
      </c>
      <c r="I30" s="34">
        <v>21</v>
      </c>
      <c r="J30" s="38">
        <f t="shared" si="1"/>
        <v>1</v>
      </c>
      <c r="K30" s="39">
        <f>'Oct 08'!$F30*'Oct 08'!$I30</f>
        <v>3653081.25</v>
      </c>
      <c r="L30" s="40">
        <f>'Oct 08'!$K30/$K$2</f>
        <v>2.4406382488612228E-2</v>
      </c>
      <c r="M30" s="62"/>
    </row>
    <row r="31" spans="1:15" s="2" customFormat="1" ht="25.5" x14ac:dyDescent="0.2">
      <c r="A31" s="34" t="s">
        <v>176</v>
      </c>
      <c r="B31" s="60" t="s">
        <v>124</v>
      </c>
      <c r="C31" s="61" t="s">
        <v>125</v>
      </c>
      <c r="D31" s="35">
        <v>2.4913000000000001E-2</v>
      </c>
      <c r="E31" s="36">
        <f>'Oct 08'!$D31*$C$6*$C$2</f>
        <v>3708607.1940323911</v>
      </c>
      <c r="F31" s="36">
        <v>125700</v>
      </c>
      <c r="G31" s="37">
        <f>'Oct 08'!$E31/'Oct 08'!$F31</f>
        <v>29.50363718402857</v>
      </c>
      <c r="H31" s="34">
        <v>28</v>
      </c>
      <c r="I31" s="34">
        <v>29</v>
      </c>
      <c r="J31" s="38">
        <f t="shared" si="1"/>
        <v>1</v>
      </c>
      <c r="K31" s="39">
        <f>'Oct 08'!$F31*'Oct 08'!$I31</f>
        <v>3645300</v>
      </c>
      <c r="L31" s="40">
        <f>'Oct 08'!$K31/$K$2</f>
        <v>2.4354395644974543E-2</v>
      </c>
      <c r="M31" s="62"/>
    </row>
    <row r="32" spans="1:15" s="2" customFormat="1" ht="25.5" x14ac:dyDescent="0.2">
      <c r="A32" s="34" t="s">
        <v>176</v>
      </c>
      <c r="B32" s="60" t="s">
        <v>127</v>
      </c>
      <c r="C32" s="61" t="s">
        <v>128</v>
      </c>
      <c r="D32" s="35">
        <v>2.4913000000000001E-2</v>
      </c>
      <c r="E32" s="36">
        <f>'Oct 08'!$D32*$C$6*$C$2</f>
        <v>3708607.1940323911</v>
      </c>
      <c r="F32" s="36">
        <v>138828.115384615</v>
      </c>
      <c r="G32" s="37">
        <f>'Oct 08'!$E32/'Oct 08'!$F32</f>
        <v>26.713660873072552</v>
      </c>
      <c r="H32" s="34">
        <v>26</v>
      </c>
      <c r="I32" s="34">
        <v>27</v>
      </c>
      <c r="J32" s="38">
        <f t="shared" si="1"/>
        <v>1</v>
      </c>
      <c r="K32" s="39">
        <f>'Oct 08'!$F32*'Oct 08'!$I32</f>
        <v>3748359.1153846048</v>
      </c>
      <c r="L32" s="40">
        <f>'Oct 08'!$K32/$K$2</f>
        <v>2.504293773229184E-2</v>
      </c>
      <c r="M32" s="62"/>
    </row>
    <row r="33" spans="1:15" s="2" customFormat="1" ht="25.5" x14ac:dyDescent="0.2">
      <c r="A33" s="34" t="s">
        <v>176</v>
      </c>
      <c r="B33" s="60" t="s">
        <v>135</v>
      </c>
      <c r="C33" s="61" t="s">
        <v>136</v>
      </c>
      <c r="D33" s="35">
        <v>2.4913000000000001E-2</v>
      </c>
      <c r="E33" s="36">
        <f>'Oct 08'!$D33*$C$6*$C$2</f>
        <v>3708607.1940323911</v>
      </c>
      <c r="F33" s="36">
        <v>220825</v>
      </c>
      <c r="G33" s="37">
        <f>'Oct 08'!$E33/'Oct 08'!$F33</f>
        <v>16.794326702286387</v>
      </c>
      <c r="H33" s="34">
        <v>16</v>
      </c>
      <c r="I33" s="34">
        <v>17</v>
      </c>
      <c r="J33" s="38">
        <f t="shared" si="1"/>
        <v>1</v>
      </c>
      <c r="K33" s="39">
        <f>'Oct 08'!$F33*'Oct 08'!$I33</f>
        <v>3754025</v>
      </c>
      <c r="L33" s="40">
        <f>'Oct 08'!$K33/$K$2</f>
        <v>2.5080791734871082E-2</v>
      </c>
      <c r="M33" s="62"/>
    </row>
    <row r="34" spans="1:15" s="43" customFormat="1" ht="25.5" customHeight="1" x14ac:dyDescent="0.25">
      <c r="A34" s="34" t="s">
        <v>177</v>
      </c>
      <c r="B34" s="34" t="s">
        <v>178</v>
      </c>
      <c r="C34" s="34" t="s">
        <v>179</v>
      </c>
      <c r="D34" s="35">
        <v>2.4913000000000001E-2</v>
      </c>
      <c r="E34" s="36">
        <f>'Oct 08'!$D34*$C$6*$C$2</f>
        <v>3708607.1940323911</v>
      </c>
      <c r="F34" s="36">
        <v>96944.810810810799</v>
      </c>
      <c r="G34" s="37">
        <f>'Oct 08'!$E34/'Oct 08'!$F34</f>
        <v>38.254829350998392</v>
      </c>
      <c r="H34" s="34">
        <v>37</v>
      </c>
      <c r="I34" s="34">
        <v>38</v>
      </c>
      <c r="J34" s="38">
        <f t="shared" si="1"/>
        <v>1</v>
      </c>
      <c r="K34" s="39">
        <f>'Oct 08'!$F34*'Oct 08'!$I34</f>
        <v>3683902.8108108104</v>
      </c>
      <c r="L34" s="40">
        <f>'Oct 08'!$K34/$K$2</f>
        <v>2.4612302573758064E-2</v>
      </c>
      <c r="M34" s="41"/>
      <c r="O34" s="42"/>
    </row>
    <row r="35" spans="1:15" s="43" customFormat="1" ht="25.5" customHeight="1" x14ac:dyDescent="0.25">
      <c r="A35" s="34" t="s">
        <v>177</v>
      </c>
      <c r="B35" s="34" t="s">
        <v>76</v>
      </c>
      <c r="C35" s="34" t="s">
        <v>77</v>
      </c>
      <c r="D35" s="35">
        <v>2.4913000000000001E-2</v>
      </c>
      <c r="E35" s="36">
        <f>'Oct 08'!$D35*$C$6*$C$2</f>
        <v>3708607.1940323911</v>
      </c>
      <c r="F35" s="36">
        <v>114309.774193548</v>
      </c>
      <c r="G35" s="37">
        <f>'Oct 08'!$E35/'Oct 08'!$F35</f>
        <v>32.443482809729112</v>
      </c>
      <c r="H35" s="34">
        <v>31</v>
      </c>
      <c r="I35" s="34">
        <v>32</v>
      </c>
      <c r="J35" s="38">
        <f t="shared" si="1"/>
        <v>1</v>
      </c>
      <c r="K35" s="39">
        <f>'Oct 08'!$F35*'Oct 08'!$I35</f>
        <v>3657912.774193536</v>
      </c>
      <c r="L35" s="40">
        <f>'Oct 08'!$K35/$K$2</f>
        <v>2.4438662095716622E-2</v>
      </c>
      <c r="M35" s="41"/>
    </row>
    <row r="36" spans="1:15" s="43" customFormat="1" ht="25.5" customHeight="1" x14ac:dyDescent="0.25">
      <c r="A36" s="34" t="s">
        <v>177</v>
      </c>
      <c r="B36" s="34" t="s">
        <v>180</v>
      </c>
      <c r="C36" s="34" t="s">
        <v>181</v>
      </c>
      <c r="D36" s="35">
        <v>2.4913000000000001E-2</v>
      </c>
      <c r="E36" s="36">
        <f>'Oct 08'!$D36*$C$6*$C$2</f>
        <v>3708607.1940323911</v>
      </c>
      <c r="F36" s="36">
        <v>114301.935483871</v>
      </c>
      <c r="G36" s="37">
        <f>'Oct 08'!$E36/'Oct 08'!$F36</f>
        <v>32.445707750554305</v>
      </c>
      <c r="H36" s="34">
        <v>31</v>
      </c>
      <c r="I36" s="34">
        <v>32</v>
      </c>
      <c r="J36" s="38">
        <f t="shared" si="1"/>
        <v>1</v>
      </c>
      <c r="K36" s="39">
        <f>'Oct 08'!$F36*'Oct 08'!$I36</f>
        <v>3657661.935483872</v>
      </c>
      <c r="L36" s="40">
        <f>'Oct 08'!$K36/$K$2</f>
        <v>2.4436986232227134E-2</v>
      </c>
      <c r="M36" s="41"/>
    </row>
    <row r="37" spans="1:15" s="43" customFormat="1" ht="25.5" x14ac:dyDescent="0.25">
      <c r="A37" s="34" t="s">
        <v>177</v>
      </c>
      <c r="B37" s="34" t="s">
        <v>71</v>
      </c>
      <c r="C37" s="34" t="s">
        <v>72</v>
      </c>
      <c r="D37" s="35">
        <v>2.4913000000000001E-2</v>
      </c>
      <c r="E37" s="36">
        <f>'Oct 08'!$D37*$C$6*$C$2</f>
        <v>3708607.1940323911</v>
      </c>
      <c r="F37" s="36">
        <v>133562.444444444</v>
      </c>
      <c r="G37" s="37">
        <f>'Oct 08'!$E37/'Oct 08'!$F37</f>
        <v>27.76684126633371</v>
      </c>
      <c r="H37" s="34">
        <v>27</v>
      </c>
      <c r="I37" s="34">
        <v>28</v>
      </c>
      <c r="J37" s="38">
        <f t="shared" si="1"/>
        <v>1</v>
      </c>
      <c r="K37" s="39">
        <f>'Oct 08'!$F37*'Oct 08'!$I37</f>
        <v>3739748.4444444319</v>
      </c>
      <c r="L37" s="40">
        <f>'Oct 08'!$K37/$K$2</f>
        <v>2.4985409494054752E-2</v>
      </c>
      <c r="M37" s="41"/>
    </row>
    <row r="38" spans="1:15" s="43" customFormat="1" ht="25.5" x14ac:dyDescent="0.25">
      <c r="A38" s="34" t="s">
        <v>177</v>
      </c>
      <c r="B38" s="34" t="s">
        <v>67</v>
      </c>
      <c r="C38" s="34" t="s">
        <v>68</v>
      </c>
      <c r="D38" s="35">
        <v>2.4913000000000001E-2</v>
      </c>
      <c r="E38" s="36">
        <f>'Oct 08'!$D38*$C$6*$C$2</f>
        <v>3708607.1940323911</v>
      </c>
      <c r="F38" s="36">
        <v>174986.45</v>
      </c>
      <c r="G38" s="37">
        <f>'Oct 08'!$E38/'Oct 08'!$F38</f>
        <v>21.193682105285241</v>
      </c>
      <c r="H38" s="34">
        <v>20</v>
      </c>
      <c r="I38" s="34">
        <v>21</v>
      </c>
      <c r="J38" s="38">
        <f t="shared" si="1"/>
        <v>1</v>
      </c>
      <c r="K38" s="39">
        <f>'Oct 08'!$F38*'Oct 08'!$I38</f>
        <v>3674715.45</v>
      </c>
      <c r="L38" s="40">
        <f>'Oct 08'!$K38/$K$2</f>
        <v>2.4550921447343339E-2</v>
      </c>
      <c r="M38" s="41"/>
    </row>
    <row r="39" spans="1:15" s="43" customFormat="1" ht="25.5" x14ac:dyDescent="0.25">
      <c r="A39" s="34" t="s">
        <v>177</v>
      </c>
      <c r="B39" s="34" t="s">
        <v>80</v>
      </c>
      <c r="C39" s="34" t="s">
        <v>81</v>
      </c>
      <c r="D39" s="35">
        <v>2.4913000000000001E-2</v>
      </c>
      <c r="E39" s="36">
        <f>'Oct 08'!$D39*$C$6*$C$2</f>
        <v>3708607.1940323911</v>
      </c>
      <c r="F39" s="36">
        <v>260566.35714285701</v>
      </c>
      <c r="G39" s="37">
        <f>'Oct 08'!$E39/'Oct 08'!$F39</f>
        <v>14.2328704085122</v>
      </c>
      <c r="H39" s="34">
        <v>14</v>
      </c>
      <c r="I39" s="34">
        <v>14</v>
      </c>
      <c r="J39" s="38">
        <f t="shared" si="1"/>
        <v>0</v>
      </c>
      <c r="K39" s="39">
        <f>'Oct 08'!$F39*'Oct 08'!$I39</f>
        <v>3647928.9999999981</v>
      </c>
      <c r="L39" s="40">
        <f>'Oct 08'!$K39/$K$2</f>
        <v>2.4371960099518912E-2</v>
      </c>
      <c r="M39" s="41"/>
    </row>
    <row r="40" spans="1:15" s="64" customFormat="1" ht="12.75" x14ac:dyDescent="0.2">
      <c r="A40" s="34"/>
      <c r="B40" s="61"/>
      <c r="C40" s="61"/>
      <c r="D40" s="35"/>
      <c r="E40" s="63"/>
      <c r="F40" s="36"/>
      <c r="G40" s="37"/>
      <c r="H40" s="34"/>
      <c r="I40" s="34"/>
      <c r="J40" s="45"/>
      <c r="K40" s="36"/>
      <c r="L40" s="46"/>
      <c r="M40" s="62"/>
    </row>
    <row r="41" spans="1:15" s="15" customFormat="1" ht="12.75" x14ac:dyDescent="0.2">
      <c r="A41" s="47" t="s">
        <v>182</v>
      </c>
      <c r="B41" s="65"/>
      <c r="C41" s="65"/>
      <c r="D41" s="55">
        <f>SUBTOTAL(9,D28:D40)</f>
        <v>0.298956</v>
      </c>
      <c r="E41" s="66">
        <f>'Oct 08'!$D41*$C$6*$C$2</f>
        <v>44503286.328388691</v>
      </c>
      <c r="F41" s="67"/>
      <c r="G41" s="68"/>
      <c r="H41" s="54"/>
      <c r="I41" s="54"/>
      <c r="J41" s="58"/>
      <c r="K41" s="66">
        <f>SUM(K28:K40)</f>
        <v>44194888.456453629</v>
      </c>
      <c r="L41" s="69">
        <f>'Oct 08'!$K41/$K$2</f>
        <v>0.29526782403478175</v>
      </c>
      <c r="M41" s="70"/>
    </row>
    <row r="42" spans="1:15" s="64" customFormat="1" ht="12.75" x14ac:dyDescent="0.2">
      <c r="A42" s="34"/>
      <c r="B42" s="61"/>
      <c r="C42" s="61"/>
      <c r="D42" s="35"/>
      <c r="E42" s="63"/>
      <c r="F42" s="36"/>
      <c r="G42" s="37"/>
      <c r="H42" s="34"/>
      <c r="I42" s="34"/>
      <c r="J42" s="45"/>
      <c r="K42" s="36"/>
      <c r="L42" s="40"/>
      <c r="M42" s="62"/>
    </row>
    <row r="43" spans="1:15" s="2" customFormat="1" ht="24.75" customHeight="1" x14ac:dyDescent="0.2">
      <c r="A43" s="34" t="s">
        <v>176</v>
      </c>
      <c r="B43" s="61" t="s">
        <v>183</v>
      </c>
      <c r="C43" s="61" t="s">
        <v>131</v>
      </c>
      <c r="D43" s="35">
        <v>7.1429000000000006E-2</v>
      </c>
      <c r="E43" s="36">
        <f>'Oct 08'!$D43*$C$6*$C$2</f>
        <v>10633087.274215858</v>
      </c>
      <c r="F43" s="36">
        <v>416345.38461538497</v>
      </c>
      <c r="G43" s="37">
        <f>'Oct 08'!$E43/'Oct 08'!$F43</f>
        <v>25.539102070360599</v>
      </c>
      <c r="H43" s="34">
        <v>26</v>
      </c>
      <c r="I43" s="34">
        <v>26</v>
      </c>
      <c r="J43" s="38">
        <f t="shared" ref="J43:J49" si="2">I43-H43</f>
        <v>0</v>
      </c>
      <c r="K43" s="39">
        <f>'Oct 08'!$F43*'Oct 08'!$I43</f>
        <v>10824980.000000009</v>
      </c>
      <c r="L43" s="40">
        <f>'Oct 08'!$K43/$K$2</f>
        <v>7.2322125961906222E-2</v>
      </c>
      <c r="M43" s="62"/>
    </row>
    <row r="44" spans="1:15" s="43" customFormat="1" ht="25.5" x14ac:dyDescent="0.25">
      <c r="A44" s="34" t="s">
        <v>177</v>
      </c>
      <c r="B44" s="34" t="s">
        <v>82</v>
      </c>
      <c r="C44" s="34" t="s">
        <v>83</v>
      </c>
      <c r="D44" s="35">
        <v>7.1429000000000006E-2</v>
      </c>
      <c r="E44" s="36">
        <f>'Oct 08'!$D44*$C$6*$C$2</f>
        <v>10633087.274215858</v>
      </c>
      <c r="F44" s="36">
        <v>249396.48837209301</v>
      </c>
      <c r="G44" s="37">
        <f>'Oct 08'!$E44/'Oct 08'!$F44</f>
        <v>42.635272628023422</v>
      </c>
      <c r="H44" s="34">
        <v>43</v>
      </c>
      <c r="I44" s="34">
        <v>43</v>
      </c>
      <c r="J44" s="38">
        <f t="shared" si="2"/>
        <v>0</v>
      </c>
      <c r="K44" s="39">
        <f>'Oct 08'!$F44*'Oct 08'!$I44</f>
        <v>10724049</v>
      </c>
      <c r="L44" s="40">
        <f>'Oct 08'!$K44/$K$2</f>
        <v>7.1647801898909166E-2</v>
      </c>
      <c r="M44" s="41"/>
    </row>
    <row r="45" spans="1:15" s="43" customFormat="1" ht="25.5" x14ac:dyDescent="0.25">
      <c r="A45" s="34" t="s">
        <v>177</v>
      </c>
      <c r="B45" s="34" t="s">
        <v>184</v>
      </c>
      <c r="C45" s="34" t="s">
        <v>105</v>
      </c>
      <c r="D45" s="35">
        <v>7.1429000000000006E-2</v>
      </c>
      <c r="E45" s="36">
        <f>'Oct 08'!$D45*$C$6*$C$2</f>
        <v>10633087.274215858</v>
      </c>
      <c r="F45" s="36">
        <v>416360.61538461503</v>
      </c>
      <c r="G45" s="37">
        <f>'Oct 08'!$E45/'Oct 08'!$F45</f>
        <v>25.538167831732824</v>
      </c>
      <c r="H45" s="34">
        <v>26</v>
      </c>
      <c r="I45" s="34">
        <v>26</v>
      </c>
      <c r="J45" s="38">
        <f t="shared" si="2"/>
        <v>0</v>
      </c>
      <c r="K45" s="39">
        <f>'Oct 08'!$F45*'Oct 08'!$I45</f>
        <v>10825375.999999991</v>
      </c>
      <c r="L45" s="40">
        <f>'Oct 08'!$K45/$K$2</f>
        <v>7.2324771653803993E-2</v>
      </c>
      <c r="M45" s="41"/>
    </row>
    <row r="46" spans="1:15" s="43" customFormat="1" ht="25.5" x14ac:dyDescent="0.25">
      <c r="A46" s="34" t="s">
        <v>177</v>
      </c>
      <c r="B46" s="34" t="s">
        <v>107</v>
      </c>
      <c r="C46" s="34" t="s">
        <v>108</v>
      </c>
      <c r="D46" s="35">
        <v>7.1429000000000006E-2</v>
      </c>
      <c r="E46" s="36">
        <f>'Oct 08'!$D46*$C$6*$C$2</f>
        <v>10633087.274215858</v>
      </c>
      <c r="F46" s="36">
        <v>249821.86046511601</v>
      </c>
      <c r="G46" s="37">
        <f>'Oct 08'!$E46/'Oct 08'!$F46</f>
        <v>42.562677479141641</v>
      </c>
      <c r="H46" s="34">
        <v>43</v>
      </c>
      <c r="I46" s="34">
        <v>43</v>
      </c>
      <c r="J46" s="38">
        <f t="shared" si="2"/>
        <v>0</v>
      </c>
      <c r="K46" s="39">
        <f>'Oct 08'!$F46*'Oct 08'!$I46</f>
        <v>10742339.999999989</v>
      </c>
      <c r="L46" s="40">
        <f>'Oct 08'!$K46/$K$2</f>
        <v>7.1770004804223395E-2</v>
      </c>
      <c r="M46" s="41"/>
    </row>
    <row r="47" spans="1:15" s="43" customFormat="1" ht="25.5" x14ac:dyDescent="0.25">
      <c r="A47" s="34" t="s">
        <v>177</v>
      </c>
      <c r="B47" s="34" t="s">
        <v>185</v>
      </c>
      <c r="C47" s="34" t="s">
        <v>86</v>
      </c>
      <c r="D47" s="35">
        <v>7.1429000000000006E-2</v>
      </c>
      <c r="E47" s="36">
        <f>'Oct 08'!$D47*$C$6*$C$2</f>
        <v>10633087.274215858</v>
      </c>
      <c r="F47" s="36">
        <v>161708.67164179101</v>
      </c>
      <c r="G47" s="37">
        <f>'Oct 08'!$E47/'Oct 08'!$F47</f>
        <v>65.754589202054319</v>
      </c>
      <c r="H47" s="34">
        <v>67</v>
      </c>
      <c r="I47" s="34">
        <v>67</v>
      </c>
      <c r="J47" s="38">
        <f t="shared" si="2"/>
        <v>0</v>
      </c>
      <c r="K47" s="39">
        <f>'Oct 08'!$F47*'Oct 08'!$I47</f>
        <v>10834480.999999998</v>
      </c>
      <c r="L47" s="40">
        <f>'Oct 08'!$K47/$K$2</f>
        <v>7.2385602524335277E-2</v>
      </c>
      <c r="M47" s="41"/>
    </row>
    <row r="48" spans="1:15" s="43" customFormat="1" ht="25.5" x14ac:dyDescent="0.25">
      <c r="A48" s="34" t="s">
        <v>177</v>
      </c>
      <c r="B48" s="34" t="s">
        <v>186</v>
      </c>
      <c r="C48" s="34" t="s">
        <v>187</v>
      </c>
      <c r="D48" s="35">
        <v>7.1429000000000006E-2</v>
      </c>
      <c r="E48" s="36">
        <f>'Oct 08'!$D48*$C$6*$C$2</f>
        <v>10633087.274215858</v>
      </c>
      <c r="F48" s="36">
        <v>176471.557377049</v>
      </c>
      <c r="G48" s="37">
        <f>'Oct 08'!$E48/'Oct 08'!$F48</f>
        <v>60.253830318373694</v>
      </c>
      <c r="H48" s="34">
        <v>61</v>
      </c>
      <c r="I48" s="34">
        <v>61</v>
      </c>
      <c r="J48" s="38">
        <f t="shared" si="2"/>
        <v>0</v>
      </c>
      <c r="K48" s="39">
        <f>'Oct 08'!$F48*'Oct 08'!$I48</f>
        <v>10764764.999999989</v>
      </c>
      <c r="L48" s="40">
        <f>'Oct 08'!$K48/$K$2</f>
        <v>7.1919827129502123E-2</v>
      </c>
      <c r="M48" s="41"/>
    </row>
    <row r="49" spans="1:16" s="43" customFormat="1" ht="25.5" x14ac:dyDescent="0.25">
      <c r="A49" s="34" t="s">
        <v>177</v>
      </c>
      <c r="B49" s="34" t="s">
        <v>188</v>
      </c>
      <c r="C49" s="34" t="s">
        <v>189</v>
      </c>
      <c r="D49" s="35">
        <v>7.1429000000000006E-2</v>
      </c>
      <c r="E49" s="36">
        <f>'Oct 08'!$D49*$C$6*$C$2</f>
        <v>10633087.274215858</v>
      </c>
      <c r="F49" s="36">
        <v>716415.2</v>
      </c>
      <c r="G49" s="37">
        <f>'Oct 08'!$E49/'Oct 08'!$F49</f>
        <v>14.842073806105537</v>
      </c>
      <c r="H49" s="34">
        <v>15</v>
      </c>
      <c r="I49" s="34">
        <v>15</v>
      </c>
      <c r="J49" s="38">
        <f t="shared" si="2"/>
        <v>0</v>
      </c>
      <c r="K49" s="39">
        <f>'Oct 08'!$F49*'Oct 08'!$I49</f>
        <v>10746228</v>
      </c>
      <c r="L49" s="40">
        <f>'Oct 08'!$K49/$K$2</f>
        <v>7.1795980688311931E-2</v>
      </c>
      <c r="M49" s="41"/>
    </row>
    <row r="50" spans="1:16" s="44" customFormat="1" ht="12.75" x14ac:dyDescent="0.25">
      <c r="A50" s="34"/>
      <c r="B50" s="34"/>
      <c r="C50" s="34"/>
      <c r="D50" s="35"/>
      <c r="E50" s="36"/>
      <c r="F50" s="36"/>
      <c r="G50" s="37"/>
      <c r="H50" s="34"/>
      <c r="I50" s="34"/>
      <c r="J50" s="45"/>
      <c r="K50" s="36"/>
      <c r="L50" s="40"/>
      <c r="M50" s="34"/>
    </row>
    <row r="51" spans="1:16" s="53" customFormat="1" ht="25.5" x14ac:dyDescent="0.25">
      <c r="A51" s="47" t="s">
        <v>190</v>
      </c>
      <c r="B51" s="47"/>
      <c r="C51" s="47"/>
      <c r="D51" s="55">
        <f>SUBTOTAL(9,D43:D50)</f>
        <v>0.50000300000000009</v>
      </c>
      <c r="E51" s="49">
        <f>'Oct 08'!$D51*$C$6*$C$2</f>
        <v>74431610.91951102</v>
      </c>
      <c r="F51" s="68"/>
      <c r="G51" s="68"/>
      <c r="H51" s="54"/>
      <c r="I51" s="54"/>
      <c r="J51" s="58"/>
      <c r="K51" s="49">
        <f>SUM(K43:K50)</f>
        <v>75462218.99999997</v>
      </c>
      <c r="L51" s="71">
        <f>'Oct 08'!$K51/$K$2</f>
        <v>0.50416611466099204</v>
      </c>
      <c r="M51" s="47"/>
    </row>
    <row r="52" spans="1:16" s="44" customFormat="1" ht="12.75" x14ac:dyDescent="0.25">
      <c r="A52" s="34"/>
      <c r="B52" s="34"/>
      <c r="C52" s="34"/>
      <c r="D52" s="35"/>
      <c r="E52" s="36"/>
      <c r="F52" s="36"/>
      <c r="G52" s="37"/>
      <c r="H52" s="34"/>
      <c r="I52" s="34"/>
      <c r="J52" s="45"/>
      <c r="K52" s="36"/>
      <c r="L52" s="40"/>
      <c r="M52" s="34"/>
    </row>
    <row r="53" spans="1:16" s="43" customFormat="1" ht="12.75" x14ac:dyDescent="0.25">
      <c r="A53" s="34"/>
      <c r="B53" s="34"/>
      <c r="C53" s="34"/>
      <c r="D53" s="35"/>
      <c r="E53" s="36"/>
      <c r="F53" s="36"/>
      <c r="G53" s="72"/>
      <c r="H53" s="34"/>
      <c r="I53" s="34"/>
      <c r="J53" s="38"/>
      <c r="K53" s="39"/>
      <c r="L53" s="40"/>
      <c r="M53" s="41"/>
    </row>
    <row r="54" spans="1:16" s="43" customFormat="1" ht="25.5" x14ac:dyDescent="0.25">
      <c r="A54" s="34" t="s">
        <v>191</v>
      </c>
      <c r="B54" s="34" t="s">
        <v>192</v>
      </c>
      <c r="C54" s="34" t="s">
        <v>64</v>
      </c>
      <c r="D54" s="35">
        <v>9.7999999999999997E-4</v>
      </c>
      <c r="E54" s="36">
        <f>'Oct 08'!$D54*$C$6*$C$2</f>
        <v>145885.08209174901</v>
      </c>
      <c r="F54" s="36">
        <v>44658.666666666701</v>
      </c>
      <c r="G54" s="72">
        <f>'Oct 08'!$E54/'Oct 08'!$F54</f>
        <v>3.2666690024724332</v>
      </c>
      <c r="H54" s="34">
        <v>3</v>
      </c>
      <c r="I54" s="34">
        <v>3</v>
      </c>
      <c r="J54" s="38">
        <f t="shared" ref="J54:J63" si="3">I54-H54</f>
        <v>0</v>
      </c>
      <c r="K54" s="39">
        <f>'Oct 08'!$F54*'Oct 08'!$I54</f>
        <v>133976.00000000012</v>
      </c>
      <c r="L54" s="40">
        <f>'Oct 08'!$K54/$K$2</f>
        <v>8.9509903462845636E-4</v>
      </c>
      <c r="M54" s="41"/>
    </row>
    <row r="55" spans="1:16" s="43" customFormat="1" ht="25.5" x14ac:dyDescent="0.25">
      <c r="A55" s="34" t="s">
        <v>191</v>
      </c>
      <c r="B55" s="34" t="s">
        <v>193</v>
      </c>
      <c r="C55" s="34" t="s">
        <v>74</v>
      </c>
      <c r="D55" s="35">
        <v>9.7999999999999997E-4</v>
      </c>
      <c r="E55" s="36">
        <f>'Oct 08'!$D55*$C$6*$C$2</f>
        <v>145885.08209174901</v>
      </c>
      <c r="F55" s="36">
        <v>165917</v>
      </c>
      <c r="G55" s="72">
        <f>'Oct 08'!$E55/'Oct 08'!$F55</f>
        <v>0.87926542844765154</v>
      </c>
      <c r="H55" s="34">
        <v>1</v>
      </c>
      <c r="I55" s="34">
        <v>1</v>
      </c>
      <c r="J55" s="38">
        <f t="shared" si="3"/>
        <v>0</v>
      </c>
      <c r="K55" s="39">
        <f>'Oct 08'!$F55*'Oct 08'!$I55</f>
        <v>165917</v>
      </c>
      <c r="L55" s="40">
        <f>'Oct 08'!$K55/$K$2</f>
        <v>1.1084981379385075E-3</v>
      </c>
      <c r="M55" s="41"/>
      <c r="P55" s="43" t="s">
        <v>194</v>
      </c>
    </row>
    <row r="56" spans="1:16" s="43" customFormat="1" ht="25.5" x14ac:dyDescent="0.25">
      <c r="A56" s="34" t="s">
        <v>191</v>
      </c>
      <c r="B56" s="34" t="s">
        <v>195</v>
      </c>
      <c r="C56" s="34" t="s">
        <v>93</v>
      </c>
      <c r="D56" s="35">
        <v>9.7999999999999997E-4</v>
      </c>
      <c r="E56" s="36">
        <f>'Oct 08'!$D56*$C$6*$C$2</f>
        <v>145885.08209174901</v>
      </c>
      <c r="F56" s="36">
        <v>88101.5</v>
      </c>
      <c r="G56" s="72">
        <f>'Oct 08'!$E56/'Oct 08'!$F56</f>
        <v>1.6558751223503461</v>
      </c>
      <c r="H56" s="34">
        <v>2</v>
      </c>
      <c r="I56" s="34">
        <v>2</v>
      </c>
      <c r="J56" s="38">
        <f t="shared" si="3"/>
        <v>0</v>
      </c>
      <c r="K56" s="39">
        <f>'Oct 08'!$F56*'Oct 08'!$I56</f>
        <v>176203</v>
      </c>
      <c r="L56" s="40">
        <f>'Oct 08'!$K56/$K$2</f>
        <v>1.17721931688241E-3</v>
      </c>
      <c r="M56" s="41"/>
    </row>
    <row r="57" spans="1:16" s="43" customFormat="1" ht="25.5" x14ac:dyDescent="0.25">
      <c r="A57" s="34" t="s">
        <v>191</v>
      </c>
      <c r="B57" s="34" t="s">
        <v>94</v>
      </c>
      <c r="C57" s="34" t="s">
        <v>95</v>
      </c>
      <c r="D57" s="35">
        <v>9.7999999999999997E-4</v>
      </c>
      <c r="E57" s="36">
        <f>'Oct 08'!$D57*$C$6*$C$2</f>
        <v>145885.08209174901</v>
      </c>
      <c r="F57" s="36">
        <v>238248</v>
      </c>
      <c r="G57" s="72">
        <f>'Oct 08'!$E57/'Oct 08'!$F57</f>
        <v>0.61232447740064555</v>
      </c>
      <c r="H57" s="34">
        <v>1</v>
      </c>
      <c r="I57" s="34">
        <v>1</v>
      </c>
      <c r="J57" s="38">
        <f t="shared" si="3"/>
        <v>0</v>
      </c>
      <c r="K57" s="39">
        <f>'Oct 08'!$F57*'Oct 08'!$I57</f>
        <v>238248</v>
      </c>
      <c r="L57" s="40">
        <f>'Oct 08'!$K57/$K$2</f>
        <v>1.5917444527539283E-3</v>
      </c>
      <c r="M57" s="41"/>
    </row>
    <row r="58" spans="1:16" s="43" customFormat="1" ht="25.5" x14ac:dyDescent="0.25">
      <c r="A58" s="34" t="s">
        <v>191</v>
      </c>
      <c r="B58" s="34" t="s">
        <v>196</v>
      </c>
      <c r="C58" s="34" t="s">
        <v>197</v>
      </c>
      <c r="D58" s="35">
        <v>9.7999999999999997E-4</v>
      </c>
      <c r="E58" s="36">
        <f>'Oct 08'!$D58*$C$6*$C$2</f>
        <v>145885.08209174901</v>
      </c>
      <c r="F58" s="36">
        <v>44362.666666666701</v>
      </c>
      <c r="G58" s="72">
        <f>'Oct 08'!$E58/'Oct 08'!$F58</f>
        <v>3.2884651228904684</v>
      </c>
      <c r="H58" s="34">
        <v>3</v>
      </c>
      <c r="I58" s="34">
        <v>3</v>
      </c>
      <c r="J58" s="38">
        <f t="shared" si="3"/>
        <v>0</v>
      </c>
      <c r="K58" s="39">
        <f>'Oct 08'!$F58*'Oct 08'!$I58</f>
        <v>133088.00000000012</v>
      </c>
      <c r="L58" s="40">
        <f>'Oct 08'!$K58/$K$2</f>
        <v>8.8916627097862305E-4</v>
      </c>
      <c r="M58" s="41"/>
    </row>
    <row r="59" spans="1:16" s="43" customFormat="1" ht="25.5" x14ac:dyDescent="0.25">
      <c r="A59" s="34" t="s">
        <v>191</v>
      </c>
      <c r="B59" s="34" t="s">
        <v>198</v>
      </c>
      <c r="C59" s="34" t="s">
        <v>199</v>
      </c>
      <c r="D59" s="35">
        <v>9.7999999999999997E-4</v>
      </c>
      <c r="E59" s="36">
        <f>'Oct 08'!$D59*$C$6*$C$2</f>
        <v>145885.08209174901</v>
      </c>
      <c r="F59" s="36">
        <v>43468.666666666701</v>
      </c>
      <c r="G59" s="72">
        <f>'Oct 08'!$E59/'Oct 08'!$F59</f>
        <v>3.3560974669512649</v>
      </c>
      <c r="H59" s="34">
        <v>3</v>
      </c>
      <c r="I59" s="34">
        <v>3</v>
      </c>
      <c r="J59" s="38">
        <f t="shared" si="3"/>
        <v>0</v>
      </c>
      <c r="K59" s="39">
        <f>'Oct 08'!$F59*'Oct 08'!$I59</f>
        <v>130406.0000000001</v>
      </c>
      <c r="L59" s="40">
        <f>'Oct 08'!$K59/$K$2</f>
        <v>8.7124772130649133E-4</v>
      </c>
      <c r="M59" s="41"/>
    </row>
    <row r="60" spans="1:16" s="43" customFormat="1" ht="25.5" x14ac:dyDescent="0.25">
      <c r="A60" s="34" t="s">
        <v>191</v>
      </c>
      <c r="B60" s="34" t="s">
        <v>200</v>
      </c>
      <c r="C60" s="34" t="s">
        <v>99</v>
      </c>
      <c r="D60" s="35">
        <v>9.7999999999999997E-4</v>
      </c>
      <c r="E60" s="36">
        <f>'Oct 08'!$D60*$C$6*$C$2</f>
        <v>145885.08209174901</v>
      </c>
      <c r="F60" s="36">
        <v>12178.6363636364</v>
      </c>
      <c r="G60" s="72">
        <f>'Oct 08'!$E60/'Oct 08'!$F60</f>
        <v>11.978769850402973</v>
      </c>
      <c r="H60" s="34">
        <v>11</v>
      </c>
      <c r="I60" s="34">
        <v>11</v>
      </c>
      <c r="J60" s="38">
        <f t="shared" si="3"/>
        <v>0</v>
      </c>
      <c r="K60" s="39">
        <f>'Oct 08'!$F60*'Oct 08'!$I60</f>
        <v>133965.00000000041</v>
      </c>
      <c r="L60" s="40">
        <f>'Oct 08'!$K60/$K$2</f>
        <v>8.9502554318685002E-4</v>
      </c>
      <c r="M60" s="41"/>
    </row>
    <row r="61" spans="1:16" s="43" customFormat="1" ht="25.5" x14ac:dyDescent="0.25">
      <c r="A61" s="34" t="s">
        <v>191</v>
      </c>
      <c r="B61" s="34" t="s">
        <v>201</v>
      </c>
      <c r="C61" s="34" t="s">
        <v>102</v>
      </c>
      <c r="D61" s="35">
        <v>9.7999999999999997E-4</v>
      </c>
      <c r="E61" s="36">
        <f>'Oct 08'!$D61*$C$6*$C$2</f>
        <v>145885.08209174901</v>
      </c>
      <c r="F61" s="36">
        <v>90523</v>
      </c>
      <c r="G61" s="72">
        <f>'Oct 08'!$E61/'Oct 08'!$F61</f>
        <v>1.6115802844774147</v>
      </c>
      <c r="H61" s="34">
        <v>2</v>
      </c>
      <c r="I61" s="34">
        <v>2</v>
      </c>
      <c r="J61" s="38">
        <f t="shared" si="3"/>
        <v>0</v>
      </c>
      <c r="K61" s="39">
        <f>'Oct 08'!$F61*'Oct 08'!$I61</f>
        <v>181046</v>
      </c>
      <c r="L61" s="40">
        <f>'Oct 08'!$K61/$K$2</f>
        <v>1.2095755943104987E-3</v>
      </c>
      <c r="M61" s="41"/>
    </row>
    <row r="62" spans="1:16" s="2" customFormat="1" ht="25.5" x14ac:dyDescent="0.2">
      <c r="A62" s="34" t="s">
        <v>191</v>
      </c>
      <c r="B62" s="61" t="s">
        <v>202</v>
      </c>
      <c r="C62" s="61" t="s">
        <v>133</v>
      </c>
      <c r="D62" s="35">
        <v>9.7999999999999997E-4</v>
      </c>
      <c r="E62" s="36">
        <f>'Oct 08'!$D62*$C$6*$C$2</f>
        <v>145885.08209174901</v>
      </c>
      <c r="F62" s="36">
        <v>58922.5</v>
      </c>
      <c r="G62" s="72">
        <f>'Oct 08'!$E62/'Oct 08'!$F62</f>
        <v>2.4758807262378379</v>
      </c>
      <c r="H62" s="34">
        <v>2</v>
      </c>
      <c r="I62" s="34">
        <v>2</v>
      </c>
      <c r="J62" s="38">
        <f t="shared" si="3"/>
        <v>0</v>
      </c>
      <c r="K62" s="39">
        <f>'Oct 08'!$F62*'Oct 08'!$I62</f>
        <v>117845</v>
      </c>
      <c r="L62" s="40">
        <f>'Oct 08'!$K62/$K$2</f>
        <v>7.8732717602996328E-4</v>
      </c>
      <c r="M62" s="62"/>
    </row>
    <row r="63" spans="1:16" s="43" customFormat="1" ht="25.5" x14ac:dyDescent="0.25">
      <c r="A63" s="34" t="s">
        <v>191</v>
      </c>
      <c r="B63" s="34" t="s">
        <v>203</v>
      </c>
      <c r="C63" s="34" t="s">
        <v>204</v>
      </c>
      <c r="D63" s="35">
        <v>9.7999999999999997E-4</v>
      </c>
      <c r="E63" s="36">
        <f>'Oct 08'!$D63*$C$6*$C$2</f>
        <v>145885.08209174901</v>
      </c>
      <c r="F63" s="36">
        <v>120685</v>
      </c>
      <c r="G63" s="72">
        <f>'Oct 08'!$E63/'Oct 08'!$F63</f>
        <v>1.2088087342399554</v>
      </c>
      <c r="H63" s="34">
        <v>1</v>
      </c>
      <c r="I63" s="34">
        <v>1</v>
      </c>
      <c r="J63" s="38">
        <f t="shared" si="3"/>
        <v>0</v>
      </c>
      <c r="K63" s="39">
        <f>'Oct 08'!$F63*'Oct 08'!$I63</f>
        <v>120685</v>
      </c>
      <c r="L63" s="40">
        <f>'Oct 08'!$K63/$K$2</f>
        <v>8.0630133004519586E-4</v>
      </c>
      <c r="M63" s="41"/>
    </row>
    <row r="64" spans="1:16" s="43" customFormat="1" ht="12.75" x14ac:dyDescent="0.25">
      <c r="A64" s="34"/>
      <c r="B64" s="34"/>
      <c r="C64" s="34"/>
      <c r="D64" s="35"/>
      <c r="E64" s="36"/>
      <c r="F64" s="36"/>
      <c r="G64" s="37"/>
      <c r="H64" s="34"/>
      <c r="I64" s="34"/>
      <c r="J64" s="41"/>
      <c r="K64" s="39"/>
      <c r="L64" s="40"/>
      <c r="M64" s="41"/>
    </row>
    <row r="65" spans="1:13" s="43" customFormat="1" ht="12.75" x14ac:dyDescent="0.25">
      <c r="A65" s="34"/>
      <c r="B65" s="34"/>
      <c r="C65" s="34"/>
      <c r="D65" s="35"/>
      <c r="E65" s="36"/>
      <c r="F65" s="36"/>
      <c r="G65" s="37"/>
      <c r="H65" s="34"/>
      <c r="I65" s="34"/>
      <c r="J65" s="41"/>
      <c r="K65" s="39"/>
      <c r="L65" s="40"/>
      <c r="M65" s="41"/>
    </row>
    <row r="66" spans="1:13" s="43" customFormat="1" ht="12.75" x14ac:dyDescent="0.25">
      <c r="A66" s="34"/>
      <c r="B66" s="34"/>
      <c r="C66" s="34"/>
      <c r="D66" s="35"/>
      <c r="E66" s="36"/>
      <c r="F66" s="36"/>
      <c r="G66" s="37"/>
      <c r="H66" s="34"/>
      <c r="I66" s="34"/>
      <c r="J66" s="41"/>
      <c r="K66" s="39"/>
      <c r="L66" s="40"/>
      <c r="M66" s="41"/>
    </row>
    <row r="67" spans="1:13" s="43" customFormat="1" ht="12.75" x14ac:dyDescent="0.25">
      <c r="A67" s="34"/>
      <c r="B67" s="34"/>
      <c r="C67" s="34"/>
      <c r="D67" s="35"/>
      <c r="E67" s="36"/>
      <c r="F67" s="36"/>
      <c r="G67" s="37"/>
      <c r="H67" s="34"/>
      <c r="I67" s="34"/>
      <c r="J67" s="41"/>
      <c r="K67" s="39"/>
      <c r="L67" s="40"/>
      <c r="M67" s="41"/>
    </row>
    <row r="68" spans="1:13" s="43" customFormat="1" ht="12.75" x14ac:dyDescent="0.25">
      <c r="A68" s="34"/>
      <c r="B68" s="34"/>
      <c r="C68" s="34"/>
      <c r="D68" s="35"/>
      <c r="E68" s="36"/>
      <c r="F68" s="36"/>
      <c r="G68" s="37"/>
      <c r="H68" s="34"/>
      <c r="I68" s="34"/>
      <c r="J68" s="41"/>
      <c r="K68" s="39"/>
      <c r="L68" s="40"/>
      <c r="M68" s="41"/>
    </row>
    <row r="69" spans="1:13" s="43" customFormat="1" ht="12.75" x14ac:dyDescent="0.25">
      <c r="A69" s="34"/>
      <c r="B69" s="34"/>
      <c r="C69" s="34"/>
      <c r="D69" s="35"/>
      <c r="E69" s="36"/>
      <c r="F69" s="36"/>
      <c r="G69" s="37"/>
      <c r="H69" s="34"/>
      <c r="I69" s="34"/>
      <c r="J69" s="41"/>
      <c r="K69" s="39"/>
      <c r="L69" s="40"/>
      <c r="M69" s="41"/>
    </row>
    <row r="70" spans="1:13" s="43" customFormat="1" ht="12.75" x14ac:dyDescent="0.25">
      <c r="A70" s="34"/>
      <c r="B70" s="34"/>
      <c r="C70" s="34"/>
      <c r="D70" s="35"/>
      <c r="E70" s="36"/>
      <c r="F70" s="36"/>
      <c r="G70" s="37"/>
      <c r="H70" s="34"/>
      <c r="I70" s="34"/>
      <c r="J70" s="41"/>
      <c r="K70" s="39"/>
      <c r="L70" s="40"/>
      <c r="M70" s="41"/>
    </row>
    <row r="71" spans="1:13" s="15" customFormat="1" ht="12.75" x14ac:dyDescent="0.2">
      <c r="A71" s="47" t="s">
        <v>205</v>
      </c>
      <c r="B71" s="65"/>
      <c r="C71" s="65"/>
      <c r="D71" s="73">
        <f>SUM(D54:D70)</f>
        <v>9.7999999999999997E-3</v>
      </c>
      <c r="E71" s="49">
        <f>SUM(E53:E70)</f>
        <v>1458850.8209174897</v>
      </c>
      <c r="F71" s="68"/>
      <c r="G71" s="68"/>
      <c r="H71" s="65"/>
      <c r="I71" s="65"/>
      <c r="J71" s="47"/>
      <c r="K71" s="49">
        <f>SUM(K53:K70)</f>
        <v>1531379.0000000007</v>
      </c>
      <c r="L71" s="52">
        <f>'Oct 08'!$K71/$K$2</f>
        <v>1.0231204578060924E-2</v>
      </c>
      <c r="M71" s="59"/>
    </row>
    <row r="72" spans="1:13" s="2" customFormat="1" ht="12.75" x14ac:dyDescent="0.2">
      <c r="A72" s="34"/>
      <c r="B72" s="61"/>
      <c r="C72" s="61"/>
      <c r="D72" s="74"/>
      <c r="E72" s="36"/>
      <c r="F72" s="36"/>
      <c r="G72" s="37"/>
      <c r="H72" s="61"/>
      <c r="I72" s="61"/>
      <c r="J72" s="34"/>
      <c r="K72" s="34"/>
      <c r="L72" s="40"/>
      <c r="M72" s="62"/>
    </row>
    <row r="73" spans="1:13" s="43" customFormat="1" ht="25.5" x14ac:dyDescent="0.25">
      <c r="A73" s="47" t="s">
        <v>206</v>
      </c>
      <c r="B73" s="54" t="s">
        <v>207</v>
      </c>
      <c r="C73" s="54" t="s">
        <v>119</v>
      </c>
      <c r="D73" s="55">
        <v>9.9080000000000001E-3</v>
      </c>
      <c r="E73" s="56">
        <f>'Oct 08'!$D73*$C$6*$C$2</f>
        <v>1474927.9524133157</v>
      </c>
      <c r="F73" s="56">
        <v>29900</v>
      </c>
      <c r="G73" s="57">
        <f>'Oct 08'!$E73/'Oct 08'!$F73</f>
        <v>49.328694060646008</v>
      </c>
      <c r="H73" s="54">
        <v>42</v>
      </c>
      <c r="I73" s="54">
        <v>50</v>
      </c>
      <c r="J73" s="75">
        <f>I73-H73</f>
        <v>8</v>
      </c>
      <c r="K73" s="56">
        <f>'Oct 08'!$F73*'Oct 08'!$I73</f>
        <v>1495000</v>
      </c>
      <c r="L73" s="76">
        <f>'Oct 08'!$K73/$K$2</f>
        <v>9.9881550185819939E-3</v>
      </c>
      <c r="M73" s="54"/>
    </row>
    <row r="74" spans="1:13" s="2" customFormat="1" ht="12.75" x14ac:dyDescent="0.2">
      <c r="A74" s="34"/>
      <c r="B74" s="61"/>
      <c r="C74" s="61"/>
      <c r="D74" s="74"/>
      <c r="E74" s="36"/>
      <c r="F74" s="36"/>
      <c r="G74" s="37"/>
      <c r="H74" s="61"/>
      <c r="I74" s="61"/>
      <c r="J74" s="34"/>
      <c r="K74" s="34"/>
      <c r="L74" s="40"/>
      <c r="M74" s="62"/>
    </row>
    <row r="75" spans="1:13" s="2" customFormat="1" ht="12.75" x14ac:dyDescent="0.2">
      <c r="A75" s="34"/>
      <c r="B75" s="61"/>
      <c r="C75" s="61"/>
      <c r="D75" s="77"/>
      <c r="E75" s="63"/>
      <c r="F75" s="36"/>
      <c r="G75" s="37"/>
      <c r="H75" s="61"/>
      <c r="I75" s="61"/>
      <c r="J75" s="34"/>
      <c r="K75" s="34"/>
      <c r="L75" s="40"/>
      <c r="M75" s="62"/>
    </row>
    <row r="76" spans="1:13" s="15" customFormat="1" ht="12.75" x14ac:dyDescent="0.2">
      <c r="A76" s="47" t="s">
        <v>208</v>
      </c>
      <c r="B76" s="65"/>
      <c r="C76" s="65"/>
      <c r="D76" s="65"/>
      <c r="E76" s="78"/>
      <c r="F76" s="78"/>
      <c r="G76" s="47"/>
      <c r="H76" s="65"/>
      <c r="I76" s="65"/>
      <c r="J76" s="65"/>
      <c r="K76" s="78">
        <f>SUM(K24,K26,K41,K51,K71,K73)</f>
        <v>149677292.47480619</v>
      </c>
      <c r="L76" s="52">
        <f>'Oct 08'!$K76/$K$2</f>
        <v>1.0000000000000002</v>
      </c>
      <c r="M76" s="65"/>
    </row>
    <row r="77" spans="1:13" s="2" customFormat="1" ht="12.75" x14ac:dyDescent="0.2">
      <c r="A77" s="62"/>
      <c r="B77" s="62"/>
      <c r="C77" s="62"/>
      <c r="D77" s="79"/>
      <c r="E77" s="80"/>
      <c r="F77" s="36"/>
      <c r="G77" s="81"/>
      <c r="H77" s="62"/>
      <c r="I77" s="62"/>
      <c r="J77" s="62"/>
      <c r="K77" s="62"/>
      <c r="L77" s="40"/>
      <c r="M77" s="62"/>
    </row>
    <row r="78" spans="1:13" s="2" customFormat="1" ht="12.75" x14ac:dyDescent="0.2">
      <c r="A78" s="62"/>
      <c r="B78" s="62"/>
      <c r="C78" s="62"/>
      <c r="D78" s="79"/>
      <c r="E78" s="80"/>
      <c r="F78" s="36"/>
      <c r="G78" s="81"/>
      <c r="H78" s="62"/>
      <c r="I78" s="62"/>
      <c r="J78" s="62"/>
      <c r="K78" s="62"/>
      <c r="L78" s="40"/>
      <c r="M78" s="62"/>
    </row>
    <row r="79" spans="1:13" s="2" customFormat="1" ht="12.75" x14ac:dyDescent="0.2">
      <c r="A79" s="62"/>
      <c r="B79" s="62"/>
      <c r="C79" s="62"/>
      <c r="D79" s="79"/>
      <c r="E79" s="80"/>
      <c r="F79" s="36"/>
      <c r="G79" s="81"/>
      <c r="H79" s="62"/>
      <c r="I79" s="62"/>
      <c r="J79" s="62"/>
      <c r="K79" s="62"/>
      <c r="L79" s="40"/>
      <c r="M79" s="62"/>
    </row>
    <row r="80" spans="1:13" s="2" customFormat="1" ht="12.75" x14ac:dyDescent="0.2">
      <c r="A80" s="62"/>
      <c r="B80" s="62"/>
      <c r="C80" s="62"/>
      <c r="D80" s="79"/>
      <c r="E80" s="80"/>
      <c r="F80" s="36"/>
      <c r="G80" s="81"/>
      <c r="H80" s="62"/>
      <c r="I80" s="62"/>
      <c r="J80" s="62"/>
      <c r="K80" s="62"/>
      <c r="L80" s="40"/>
      <c r="M80" s="62"/>
    </row>
    <row r="81" spans="1:13" s="2" customFormat="1" ht="12.75" x14ac:dyDescent="0.2">
      <c r="A81" s="62"/>
      <c r="B81" s="62"/>
      <c r="C81" s="62"/>
      <c r="D81" s="79"/>
      <c r="E81" s="80"/>
      <c r="F81" s="36"/>
      <c r="G81" s="81"/>
      <c r="H81" s="62"/>
      <c r="I81" s="62"/>
      <c r="J81" s="62"/>
      <c r="K81" s="62"/>
      <c r="L81" s="40"/>
      <c r="M81" s="62"/>
    </row>
    <row r="82" spans="1:13" s="2" customFormat="1" ht="12.75" x14ac:dyDescent="0.2">
      <c r="A82" s="62"/>
      <c r="B82" s="62"/>
      <c r="C82" s="62"/>
      <c r="D82" s="79"/>
      <c r="E82" s="80"/>
      <c r="F82" s="36"/>
      <c r="G82" s="81"/>
      <c r="H82" s="62"/>
      <c r="I82" s="62"/>
      <c r="J82" s="62"/>
      <c r="K82" s="62"/>
      <c r="L82" s="40"/>
      <c r="M82" s="62"/>
    </row>
    <row r="83" spans="1:13" s="2" customFormat="1" ht="12.75" x14ac:dyDescent="0.2">
      <c r="A83" s="62"/>
      <c r="B83" s="62"/>
      <c r="C83" s="62"/>
      <c r="D83" s="79"/>
      <c r="E83" s="80"/>
      <c r="F83" s="36"/>
      <c r="G83" s="81"/>
      <c r="H83" s="62"/>
      <c r="I83" s="62"/>
      <c r="J83" s="62"/>
      <c r="K83" s="62"/>
      <c r="L83" s="40"/>
      <c r="M83" s="62"/>
    </row>
    <row r="84" spans="1:13" s="2" customFormat="1" ht="12.75" x14ac:dyDescent="0.2">
      <c r="A84" s="62"/>
      <c r="B84" s="62"/>
      <c r="C84" s="62"/>
      <c r="D84" s="79"/>
      <c r="E84" s="80"/>
      <c r="F84" s="36"/>
      <c r="G84" s="81"/>
      <c r="H84" s="62"/>
      <c r="I84" s="62"/>
      <c r="J84" s="62"/>
      <c r="K84" s="62"/>
      <c r="L84" s="40"/>
      <c r="M84" s="62"/>
    </row>
    <row r="85" spans="1:13" s="2" customFormat="1" ht="12.75" x14ac:dyDescent="0.2">
      <c r="A85" s="62"/>
      <c r="B85" s="62"/>
      <c r="C85" s="62"/>
      <c r="D85" s="79"/>
      <c r="E85" s="80"/>
      <c r="F85" s="36"/>
      <c r="G85" s="81"/>
      <c r="H85" s="62"/>
      <c r="I85" s="62"/>
      <c r="J85" s="62"/>
      <c r="K85" s="62"/>
      <c r="L85" s="40"/>
      <c r="M85" s="62"/>
    </row>
    <row r="86" spans="1:13" s="2" customFormat="1" ht="12.75" x14ac:dyDescent="0.2"/>
    <row r="87" spans="1:13" s="2" customFormat="1" ht="12.75" x14ac:dyDescent="0.2"/>
    <row r="89" spans="1:13" s="2" customFormat="1" ht="12.75" x14ac:dyDescent="0.2">
      <c r="A89" s="82"/>
      <c r="B89" s="82"/>
      <c r="E89" s="82"/>
      <c r="F89" s="82"/>
      <c r="G89" s="82"/>
      <c r="H89" s="83"/>
      <c r="M89" s="82"/>
    </row>
    <row r="90" spans="1:13" s="2" customFormat="1" ht="12.75" x14ac:dyDescent="0.2">
      <c r="A90" s="82"/>
      <c r="B90" s="82"/>
      <c r="E90" s="82"/>
      <c r="F90" s="82"/>
      <c r="G90" s="82"/>
      <c r="H90" s="83"/>
      <c r="M90" s="82"/>
    </row>
    <row r="91" spans="1:13" s="2" customFormat="1" ht="12.75" x14ac:dyDescent="0.2">
      <c r="A91" s="84"/>
      <c r="B91" s="84"/>
    </row>
    <row r="92" spans="1:13" s="2" customFormat="1" ht="12.75" x14ac:dyDescent="0.2">
      <c r="A92" s="85"/>
      <c r="B92" s="85"/>
      <c r="E92" s="85"/>
      <c r="F92" s="84"/>
      <c r="G92" s="84"/>
      <c r="M92" s="86"/>
    </row>
    <row r="93" spans="1:13" s="2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H93"/>
  <sheetViews>
    <sheetView zoomScale="125" zoomScaleNormal="125" workbookViewId="0">
      <pane xSplit="2" topLeftCell="C1" activePane="topRight" state="frozen"/>
      <selection pane="topRight" activeCell="H3" sqref="H3"/>
    </sheetView>
  </sheetViews>
  <sheetFormatPr defaultColWidth="9.140625" defaultRowHeight="15" x14ac:dyDescent="0.25"/>
  <cols>
    <col min="1" max="2" width="15.140625" style="2" customWidth="1"/>
    <col min="3" max="3" width="29.28515625" style="2" customWidth="1"/>
    <col min="4" max="4" width="14.85546875" style="2" customWidth="1"/>
    <col min="5" max="5" width="27.42578125" style="2" customWidth="1"/>
    <col min="6" max="7" width="13.7109375" style="2" customWidth="1"/>
    <col min="8" max="8" width="16.5703125" style="2" customWidth="1"/>
    <col min="9" max="9" width="15.5703125" style="2" customWidth="1"/>
    <col min="10" max="10" width="13.42578125" customWidth="1"/>
    <col min="11" max="11" width="23.5703125" customWidth="1"/>
    <col min="12" max="12" width="13.42578125" customWidth="1"/>
    <col min="13" max="13" width="22.5703125" style="2" customWidth="1"/>
    <col min="14" max="16" width="10.85546875" style="2" customWidth="1"/>
    <col min="17" max="17" width="11.28515625" style="2" customWidth="1"/>
    <col min="18" max="1022" width="9.140625" style="2"/>
  </cols>
  <sheetData>
    <row r="1" spans="1:17" s="2" customFormat="1" ht="25.5" x14ac:dyDescent="0.2">
      <c r="A1" s="3"/>
      <c r="B1" s="3" t="s">
        <v>138</v>
      </c>
      <c r="C1" s="4">
        <v>44113</v>
      </c>
      <c r="D1" s="5"/>
      <c r="E1" s="6" t="s">
        <v>139</v>
      </c>
      <c r="F1" s="7"/>
      <c r="G1" s="8"/>
      <c r="K1" s="9" t="s">
        <v>140</v>
      </c>
      <c r="L1" s="9" t="s">
        <v>141</v>
      </c>
      <c r="M1" s="10" t="s">
        <v>142</v>
      </c>
    </row>
    <row r="2" spans="1:17" x14ac:dyDescent="0.25">
      <c r="A2" s="3"/>
      <c r="B2" s="3" t="s">
        <v>143</v>
      </c>
      <c r="C2" s="11">
        <v>8.89</v>
      </c>
      <c r="D2" s="12"/>
      <c r="E2" s="13">
        <f>SUM(E24,E41,E51,E71,E26,E73)</f>
        <v>167422256.6331</v>
      </c>
      <c r="F2" s="14"/>
      <c r="G2" s="15"/>
      <c r="H2" s="12"/>
      <c r="I2" s="12"/>
      <c r="J2" s="12"/>
      <c r="K2" s="13">
        <f>SUM(K24,K41,K51,K71,K26,K73)</f>
        <v>168154343.57550916</v>
      </c>
      <c r="L2" s="16">
        <f>SUM(L51,L71,L41,L24,L26,L73)</f>
        <v>1</v>
      </c>
      <c r="M2" s="17">
        <f>K2/$C$6</f>
        <v>8.9288732839283131</v>
      </c>
      <c r="N2" s="18"/>
    </row>
    <row r="3" spans="1:17" ht="26.25" x14ac:dyDescent="0.25">
      <c r="A3" s="3"/>
      <c r="B3" s="3" t="s">
        <v>144</v>
      </c>
      <c r="C3" s="19">
        <v>18832649.789999999</v>
      </c>
      <c r="D3" s="20"/>
      <c r="E3" s="6" t="s">
        <v>145</v>
      </c>
      <c r="F3" s="14"/>
      <c r="G3" s="15"/>
      <c r="H3" s="12"/>
      <c r="I3" s="12"/>
      <c r="J3" s="12"/>
      <c r="K3" s="6" t="s">
        <v>145</v>
      </c>
      <c r="L3" s="12"/>
      <c r="M3" s="10" t="s">
        <v>146</v>
      </c>
      <c r="N3" s="21"/>
    </row>
    <row r="4" spans="1:17" x14ac:dyDescent="0.25">
      <c r="A4" s="3"/>
      <c r="B4" s="3" t="s">
        <v>147</v>
      </c>
      <c r="C4" s="19">
        <v>0</v>
      </c>
      <c r="D4" s="20"/>
      <c r="E4" s="13">
        <f>SUM(E24,E71,E26)</f>
        <v>31891930.821525961</v>
      </c>
      <c r="F4" s="14"/>
      <c r="G4" s="15"/>
      <c r="H4" s="12"/>
      <c r="I4" s="12"/>
      <c r="J4" s="12"/>
      <c r="K4" s="13">
        <f>SUM(K24,K26,K71)</f>
        <v>31896461.209896017</v>
      </c>
      <c r="L4" s="12"/>
      <c r="M4" s="17">
        <f>K4/$C$6</f>
        <v>1.693678880325848</v>
      </c>
      <c r="N4" s="21"/>
    </row>
    <row r="5" spans="1:17" x14ac:dyDescent="0.25">
      <c r="A5" s="3"/>
      <c r="B5" s="3" t="s">
        <v>148</v>
      </c>
      <c r="C5" s="19">
        <v>0</v>
      </c>
      <c r="D5" s="20"/>
      <c r="E5" s="14"/>
      <c r="F5" s="14"/>
      <c r="G5" s="22">
        <f>SUM(D24,D26,D41,D51,D71,D73)</f>
        <v>1</v>
      </c>
      <c r="H5" s="12"/>
      <c r="I5" s="12"/>
      <c r="J5" s="12"/>
      <c r="K5" s="12"/>
      <c r="L5" s="12"/>
      <c r="M5" s="12"/>
      <c r="N5" s="21"/>
    </row>
    <row r="6" spans="1:17" x14ac:dyDescent="0.25">
      <c r="A6" s="3"/>
      <c r="B6" s="3" t="s">
        <v>149</v>
      </c>
      <c r="C6" s="19">
        <f>C3+C4-C5</f>
        <v>18832649.789999999</v>
      </c>
      <c r="D6" s="20"/>
      <c r="E6" s="14"/>
      <c r="F6" s="14"/>
      <c r="G6" s="15"/>
      <c r="H6" s="12"/>
      <c r="I6" s="12"/>
      <c r="J6" s="12"/>
      <c r="K6" s="12"/>
      <c r="L6" s="12"/>
      <c r="M6" s="12"/>
      <c r="N6" s="21"/>
    </row>
    <row r="7" spans="1:17" x14ac:dyDescent="0.25">
      <c r="A7" s="23"/>
      <c r="B7" s="24"/>
      <c r="C7" s="24"/>
      <c r="D7" s="25"/>
      <c r="E7" s="26"/>
      <c r="F7" s="26"/>
      <c r="G7" s="26"/>
      <c r="H7" s="27"/>
      <c r="I7" s="27"/>
      <c r="J7" s="27"/>
      <c r="K7" s="12"/>
      <c r="L7" s="12"/>
      <c r="M7" s="12"/>
      <c r="N7" s="21"/>
    </row>
    <row r="8" spans="1:17" s="32" customFormat="1" ht="38.25" x14ac:dyDescent="0.2">
      <c r="A8" s="28" t="s">
        <v>150</v>
      </c>
      <c r="B8" s="28" t="s">
        <v>151</v>
      </c>
      <c r="C8" s="29" t="s">
        <v>1</v>
      </c>
      <c r="D8" s="29" t="s">
        <v>152</v>
      </c>
      <c r="E8" s="29" t="s">
        <v>153</v>
      </c>
      <c r="F8" s="29" t="s">
        <v>154</v>
      </c>
      <c r="G8" s="29" t="s">
        <v>155</v>
      </c>
      <c r="H8" s="29" t="s">
        <v>156</v>
      </c>
      <c r="I8" s="29" t="s">
        <v>157</v>
      </c>
      <c r="J8" s="29" t="s">
        <v>158</v>
      </c>
      <c r="K8" s="30" t="s">
        <v>159</v>
      </c>
      <c r="L8" s="30" t="s">
        <v>160</v>
      </c>
      <c r="M8" s="30" t="s">
        <v>161</v>
      </c>
      <c r="N8" s="31"/>
      <c r="Q8" s="33"/>
    </row>
    <row r="9" spans="1:17" s="43" customFormat="1" ht="12.75" x14ac:dyDescent="0.25">
      <c r="A9" s="34" t="s">
        <v>162</v>
      </c>
      <c r="B9" s="34" t="s">
        <v>46</v>
      </c>
      <c r="C9" s="34" t="s">
        <v>47</v>
      </c>
      <c r="D9" s="35">
        <v>1.1164E-2</v>
      </c>
      <c r="E9" s="36">
        <f>'Oct 09'!$D9*$C$6*$C$2</f>
        <v>1869102.0730519285</v>
      </c>
      <c r="F9" s="36">
        <v>551.12005410889401</v>
      </c>
      <c r="G9" s="37">
        <f>'Oct 09'!$E9/'Oct 09'!$F9</f>
        <v>3391.4608244007372</v>
      </c>
      <c r="H9" s="34">
        <v>2957</v>
      </c>
      <c r="I9" s="34">
        <f>ROUND(Table138958456799101112131445626789101112131415161718192021345678[[#This Row],[Target Quantity]],0)</f>
        <v>3391</v>
      </c>
      <c r="J9" s="38">
        <f t="shared" ref="J9:J22" si="0">I9-H9</f>
        <v>434</v>
      </c>
      <c r="K9" s="39">
        <f>'Oct 09'!$F9*'Oct 09'!$I9</f>
        <v>1868848.1034832597</v>
      </c>
      <c r="L9" s="40">
        <f>'Oct 09'!$K9/$K$2</f>
        <v>1.1113885396864932E-2</v>
      </c>
      <c r="M9" s="41"/>
      <c r="N9" s="42"/>
      <c r="O9" s="87"/>
    </row>
    <row r="10" spans="1:17" s="43" customFormat="1" ht="12.75" customHeight="1" x14ac:dyDescent="0.25">
      <c r="A10" s="34" t="s">
        <v>162</v>
      </c>
      <c r="B10" s="34" t="s">
        <v>55</v>
      </c>
      <c r="C10" s="34" t="s">
        <v>56</v>
      </c>
      <c r="D10" s="35">
        <v>1.1164E-2</v>
      </c>
      <c r="E10" s="36">
        <f>'Oct 09'!$D10*$C$6*$C$2</f>
        <v>1869102.0730519285</v>
      </c>
      <c r="F10" s="36">
        <v>431.50012876641802</v>
      </c>
      <c r="G10" s="37">
        <f>'Oct 09'!$E10/'Oct 09'!$F10</f>
        <v>4331.637347120517</v>
      </c>
      <c r="H10" s="34">
        <v>3883</v>
      </c>
      <c r="I10" s="34">
        <f>ROUND(Table138958456799101112131445626789101112131415161718192021345678[[#This Row],[Target Quantity]],0)</f>
        <v>4332</v>
      </c>
      <c r="J10" s="38">
        <f t="shared" si="0"/>
        <v>449</v>
      </c>
      <c r="K10" s="39">
        <f>'Oct 09'!$F10*'Oct 09'!$I10</f>
        <v>1869258.5578161229</v>
      </c>
      <c r="L10" s="40">
        <f>'Oct 09'!$K10/$K$2</f>
        <v>1.1116326334899214E-2</v>
      </c>
      <c r="M10" s="41"/>
    </row>
    <row r="11" spans="1:17" s="43" customFormat="1" ht="12.75" customHeight="1" x14ac:dyDescent="0.25">
      <c r="A11" s="34" t="s">
        <v>162</v>
      </c>
      <c r="B11" s="34" t="s">
        <v>37</v>
      </c>
      <c r="C11" s="34" t="s">
        <v>38</v>
      </c>
      <c r="D11" s="35">
        <v>1.1164E-2</v>
      </c>
      <c r="E11" s="36">
        <f>'Oct 09'!$D11*$C$6*$C$2</f>
        <v>1869102.0730519285</v>
      </c>
      <c r="F11" s="36">
        <v>79.080009429514405</v>
      </c>
      <c r="G11" s="37">
        <f>'Oct 09'!$E11/'Oct 09'!$F11</f>
        <v>23635.582323974009</v>
      </c>
      <c r="H11" s="34">
        <v>21210</v>
      </c>
      <c r="I11" s="34">
        <f>ROUND(Table138958456799101112131445626789101112131415161718192021345678[[#This Row],[Target Quantity]],0)</f>
        <v>23636</v>
      </c>
      <c r="J11" s="38">
        <f t="shared" si="0"/>
        <v>2426</v>
      </c>
      <c r="K11" s="39">
        <f>'Oct 09'!$F11*'Oct 09'!$I11</f>
        <v>1869135.1028760024</v>
      </c>
      <c r="L11" s="40">
        <f>'Oct 09'!$K11/$K$2</f>
        <v>1.1115592158561598E-2</v>
      </c>
      <c r="M11" s="41"/>
    </row>
    <row r="12" spans="1:17" s="44" customFormat="1" ht="12.75" customHeight="1" x14ac:dyDescent="0.25">
      <c r="A12" s="34" t="s">
        <v>162</v>
      </c>
      <c r="B12" s="34" t="s">
        <v>23</v>
      </c>
      <c r="C12" s="34" t="s">
        <v>24</v>
      </c>
      <c r="D12" s="35">
        <v>1.1164E-2</v>
      </c>
      <c r="E12" s="36">
        <f>'Oct 09'!$D12*$C$6*$C$2</f>
        <v>1869102.0730519285</v>
      </c>
      <c r="F12" s="36">
        <v>220.74996626636101</v>
      </c>
      <c r="G12" s="37">
        <f>'Oct 09'!$E12/'Oct 09'!$F12</f>
        <v>8467.0548524416772</v>
      </c>
      <c r="H12" s="34">
        <v>7411</v>
      </c>
      <c r="I12" s="34">
        <f>ROUND(Table138958456799101112131445626789101112131415161718192021345678[[#This Row],[Target Quantity]],0)</f>
        <v>8467</v>
      </c>
      <c r="J12" s="38">
        <f t="shared" si="0"/>
        <v>1056</v>
      </c>
      <c r="K12" s="39">
        <f>'Oct 09'!$F12*'Oct 09'!$I12</f>
        <v>1869089.9643772787</v>
      </c>
      <c r="L12" s="40">
        <f>'Oct 09'!$K12/$K$2</f>
        <v>1.1115323723635898E-2</v>
      </c>
      <c r="M12" s="34"/>
    </row>
    <row r="13" spans="1:17" s="44" customFormat="1" ht="12.75" customHeight="1" x14ac:dyDescent="0.25">
      <c r="A13" s="34" t="s">
        <v>162</v>
      </c>
      <c r="B13" s="34" t="s">
        <v>60</v>
      </c>
      <c r="C13" s="34" t="s">
        <v>61</v>
      </c>
      <c r="D13" s="35">
        <v>1.1164E-2</v>
      </c>
      <c r="E13" s="36">
        <f>'Oct 09'!$D13*$C$6*$C$2</f>
        <v>1869102.0730519285</v>
      </c>
      <c r="F13" s="36">
        <v>479.560093348892</v>
      </c>
      <c r="G13" s="37">
        <f>'Oct 09'!$E13/'Oct 09'!$F13</f>
        <v>3897.5346342926618</v>
      </c>
      <c r="H13" s="34">
        <v>3428</v>
      </c>
      <c r="I13" s="34">
        <f>ROUND(Table138958456799101112131445626789101112131415161718192021345678[[#This Row],[Target Quantity]],0)</f>
        <v>3898</v>
      </c>
      <c r="J13" s="38">
        <f t="shared" si="0"/>
        <v>470</v>
      </c>
      <c r="K13" s="39">
        <f>'Oct 09'!$F13*'Oct 09'!$I13</f>
        <v>1869325.2438739811</v>
      </c>
      <c r="L13" s="40">
        <f>'Oct 09'!$K13/$K$2</f>
        <v>1.1116722911380321E-2</v>
      </c>
      <c r="M13" s="34"/>
    </row>
    <row r="14" spans="1:17" s="44" customFormat="1" ht="12.75" customHeight="1" x14ac:dyDescent="0.25">
      <c r="A14" s="34" t="s">
        <v>162</v>
      </c>
      <c r="B14" s="34" t="s">
        <v>163</v>
      </c>
      <c r="C14" s="34" t="s">
        <v>164</v>
      </c>
      <c r="D14" s="35">
        <v>1.1164E-2</v>
      </c>
      <c r="E14" s="36">
        <f>'Oct 09'!$D14*$C$6*$C$2</f>
        <v>1869102.0730519285</v>
      </c>
      <c r="F14" s="36">
        <v>3204.99040307102</v>
      </c>
      <c r="G14" s="37">
        <f>'Oct 09'!$E14/'Oct 09'!$F14</f>
        <v>583.1849203857073</v>
      </c>
      <c r="H14" s="34">
        <v>521</v>
      </c>
      <c r="I14" s="34">
        <f>ROUND(Table138958456799101112131445626789101112131415161718192021345678[[#This Row],[Target Quantity]],0)</f>
        <v>583</v>
      </c>
      <c r="J14" s="38">
        <f t="shared" si="0"/>
        <v>62</v>
      </c>
      <c r="K14" s="39">
        <f>'Oct 09'!$F14*'Oct 09'!$I14</f>
        <v>1868509.4049904046</v>
      </c>
      <c r="L14" s="40">
        <f>'Oct 09'!$K14/$K$2</f>
        <v>1.1111871184887689E-2</v>
      </c>
      <c r="M14" s="34"/>
    </row>
    <row r="15" spans="1:17" s="44" customFormat="1" ht="12.75" customHeight="1" x14ac:dyDescent="0.25">
      <c r="A15" s="34" t="s">
        <v>162</v>
      </c>
      <c r="B15" s="34" t="s">
        <v>52</v>
      </c>
      <c r="C15" s="34" t="s">
        <v>53</v>
      </c>
      <c r="D15" s="35">
        <v>1.1164E-2</v>
      </c>
      <c r="E15" s="36">
        <f>'Oct 09'!$D15*$C$6*$C$2</f>
        <v>1869102.0730519285</v>
      </c>
      <c r="F15" s="36">
        <v>193.059992983277</v>
      </c>
      <c r="G15" s="37">
        <f>'Oct 09'!$E15/'Oct 09'!$F15</f>
        <v>9681.4572722678568</v>
      </c>
      <c r="H15" s="34">
        <v>8551</v>
      </c>
      <c r="I15" s="34">
        <f>ROUND(Table138958456799101112131445626789101112131415161718192021345678[[#This Row],[Target Quantity]],0)</f>
        <v>9681</v>
      </c>
      <c r="J15" s="38">
        <f t="shared" si="0"/>
        <v>1130</v>
      </c>
      <c r="K15" s="39">
        <f>'Oct 09'!$F15*'Oct 09'!$I15</f>
        <v>1869013.7920711045</v>
      </c>
      <c r="L15" s="40">
        <f>'Oct 09'!$K15/$K$2</f>
        <v>1.1114870733219151E-2</v>
      </c>
      <c r="M15" s="34"/>
    </row>
    <row r="16" spans="1:17" s="44" customFormat="1" ht="12.75" customHeight="1" x14ac:dyDescent="0.25">
      <c r="A16" s="34" t="s">
        <v>162</v>
      </c>
      <c r="B16" s="34" t="s">
        <v>165</v>
      </c>
      <c r="C16" s="34" t="s">
        <v>166</v>
      </c>
      <c r="D16" s="35">
        <v>1.1164E-2</v>
      </c>
      <c r="E16" s="36">
        <f>'Oct 09'!$D16*$C$6*$C$2</f>
        <v>1869102.0730519285</v>
      </c>
      <c r="F16" s="36">
        <v>291.25996138318402</v>
      </c>
      <c r="G16" s="37">
        <f>'Oct 09'!$E16/'Oct 09'!$F16</f>
        <v>6417.298361833271</v>
      </c>
      <c r="H16" s="34">
        <v>5697</v>
      </c>
      <c r="I16" s="34">
        <f>ROUND(Table138958456799101112131445626789101112131415161718192021345678[[#This Row],[Target Quantity]],0)</f>
        <v>6417</v>
      </c>
      <c r="J16" s="38">
        <f t="shared" si="0"/>
        <v>720</v>
      </c>
      <c r="K16" s="39">
        <f>'Oct 09'!$F16*'Oct 09'!$I16</f>
        <v>1869015.1721958918</v>
      </c>
      <c r="L16" s="40">
        <f>'Oct 09'!$K16/$K$2</f>
        <v>1.1114878940707331E-2</v>
      </c>
      <c r="M16" s="34"/>
    </row>
    <row r="17" spans="1:15" s="44" customFormat="1" ht="12.75" customHeight="1" x14ac:dyDescent="0.25">
      <c r="A17" s="34" t="s">
        <v>162</v>
      </c>
      <c r="B17" s="34" t="s">
        <v>43</v>
      </c>
      <c r="C17" s="34" t="s">
        <v>44</v>
      </c>
      <c r="D17" s="35">
        <v>1.1164E-2</v>
      </c>
      <c r="E17" s="36">
        <f>'Oct 09'!$D17*$C$6*$C$2</f>
        <v>1869102.0730519285</v>
      </c>
      <c r="F17" s="36">
        <v>1160.3701923076901</v>
      </c>
      <c r="G17" s="37">
        <f>'Oct 09'!$E17/'Oct 09'!$F17</f>
        <v>1610.7808399789601</v>
      </c>
      <c r="H17" s="34">
        <v>1456</v>
      </c>
      <c r="I17" s="34">
        <f>ROUND(Table138958456799101112131445626789101112131415161718192021345678[[#This Row],[Target Quantity]],0)</f>
        <v>1611</v>
      </c>
      <c r="J17" s="38">
        <f t="shared" si="0"/>
        <v>155</v>
      </c>
      <c r="K17" s="39">
        <f>'Oct 09'!$F17*'Oct 09'!$I17</f>
        <v>1869356.3798076888</v>
      </c>
      <c r="L17" s="40">
        <f>'Oct 09'!$K17/$K$2</f>
        <v>1.1116908074207791E-2</v>
      </c>
      <c r="M17" s="34"/>
    </row>
    <row r="18" spans="1:15" s="44" customFormat="1" ht="12.75" customHeight="1" x14ac:dyDescent="0.25">
      <c r="A18" s="34" t="s">
        <v>162</v>
      </c>
      <c r="B18" s="34" t="s">
        <v>167</v>
      </c>
      <c r="C18" s="34" t="s">
        <v>168</v>
      </c>
      <c r="D18" s="35">
        <v>1.1164E-2</v>
      </c>
      <c r="E18" s="36">
        <f>'Oct 09'!$D18*$C$6*$C$2</f>
        <v>1869102.0730519285</v>
      </c>
      <c r="F18" s="36">
        <v>174.20999055514699</v>
      </c>
      <c r="G18" s="37">
        <f>'Oct 09'!$E18/'Oct 09'!$F18</f>
        <v>10729.017704987795</v>
      </c>
      <c r="H18" s="34">
        <v>9529</v>
      </c>
      <c r="I18" s="34">
        <f>ROUND(Table138958456799101112131445626789101112131415161718192021345678[[#This Row],[Target Quantity]],0)</f>
        <v>10729</v>
      </c>
      <c r="J18" s="38">
        <f t="shared" si="0"/>
        <v>1200</v>
      </c>
      <c r="K18" s="39">
        <f>'Oct 09'!$F18*'Oct 09'!$I18</f>
        <v>1869098.9886661721</v>
      </c>
      <c r="L18" s="40">
        <f>'Oct 09'!$K18/$K$2</f>
        <v>1.1115377390336988E-2</v>
      </c>
      <c r="M18" s="34"/>
    </row>
    <row r="19" spans="1:15" s="44" customFormat="1" ht="12.75" customHeight="1" x14ac:dyDescent="0.25">
      <c r="A19" s="34" t="s">
        <v>162</v>
      </c>
      <c r="B19" s="34" t="s">
        <v>28</v>
      </c>
      <c r="C19" s="34" t="s">
        <v>29</v>
      </c>
      <c r="D19" s="35">
        <v>1.1164E-2</v>
      </c>
      <c r="E19" s="36">
        <f>'Oct 09'!$D19*$C$6*$C$2</f>
        <v>1869102.0730519285</v>
      </c>
      <c r="F19" s="36">
        <v>273</v>
      </c>
      <c r="G19" s="37">
        <f>'Oct 09'!$E19/'Oct 09'!$F19</f>
        <v>6846.5277401169542</v>
      </c>
      <c r="H19" s="34">
        <v>6216</v>
      </c>
      <c r="I19" s="34">
        <f>ROUND(Table138958456799101112131445626789101112131415161718192021345678[[#This Row],[Target Quantity]],0)</f>
        <v>6847</v>
      </c>
      <c r="J19" s="38">
        <f t="shared" si="0"/>
        <v>631</v>
      </c>
      <c r="K19" s="39">
        <f>'Oct 09'!$F19*'Oct 09'!$I19</f>
        <v>1869231</v>
      </c>
      <c r="L19" s="40">
        <f>'Oct 09'!$K19/$K$2</f>
        <v>1.1116162450841646E-2</v>
      </c>
      <c r="M19" s="34"/>
    </row>
    <row r="20" spans="1:15" s="44" customFormat="1" ht="12.75" customHeight="1" x14ac:dyDescent="0.25">
      <c r="A20" s="34" t="s">
        <v>162</v>
      </c>
      <c r="B20" s="34" t="s">
        <v>169</v>
      </c>
      <c r="C20" s="34" t="s">
        <v>170</v>
      </c>
      <c r="D20" s="35">
        <v>1.1164E-2</v>
      </c>
      <c r="E20" s="36">
        <f>'Oct 09'!$D20*$C$6*$C$2</f>
        <v>1869102.0730519285</v>
      </c>
      <c r="F20" s="36">
        <v>198.72995780590699</v>
      </c>
      <c r="G20" s="37">
        <f>'Oct 09'!$E20/'Oct 09'!$F20</f>
        <v>9405.2355955181101</v>
      </c>
      <c r="H20" s="34">
        <v>8295</v>
      </c>
      <c r="I20" s="34">
        <f>ROUND(Table138958456799101112131445626789101112131415161718192021345678[[#This Row],[Target Quantity]],0)</f>
        <v>9405</v>
      </c>
      <c r="J20" s="38">
        <f t="shared" si="0"/>
        <v>1110</v>
      </c>
      <c r="K20" s="39">
        <f>'Oct 09'!$F20*'Oct 09'!$I20</f>
        <v>1869055.2531645552</v>
      </c>
      <c r="L20" s="40">
        <f>'Oct 09'!$K20/$K$2</f>
        <v>1.1115117298919263E-2</v>
      </c>
      <c r="M20" s="34"/>
    </row>
    <row r="21" spans="1:15" s="44" customFormat="1" ht="12.75" customHeight="1" x14ac:dyDescent="0.25">
      <c r="A21" s="34" t="s">
        <v>162</v>
      </c>
      <c r="B21" s="34" t="s">
        <v>173</v>
      </c>
      <c r="C21" s="34" t="s">
        <v>174</v>
      </c>
      <c r="D21" s="35">
        <v>1.1164E-2</v>
      </c>
      <c r="E21" s="36">
        <f>'Oct 09'!$D21*$C$6*$C$2</f>
        <v>1869102.0730519285</v>
      </c>
      <c r="F21" s="36">
        <v>82.05</v>
      </c>
      <c r="G21" s="37">
        <f>'Oct 09'!$E21/'Oct 09'!$F21</f>
        <v>22780.037453405588</v>
      </c>
      <c r="H21" s="34">
        <v>19080</v>
      </c>
      <c r="I21" s="34">
        <f>ROUND(Table138958456799101112131445626789101112131415161718192021345678[[#This Row],[Target Quantity]],0)</f>
        <v>22780</v>
      </c>
      <c r="J21" s="38">
        <f t="shared" si="0"/>
        <v>3700</v>
      </c>
      <c r="K21" s="39">
        <f>'Oct 09'!$F21*'Oct 09'!$I21</f>
        <v>1869099</v>
      </c>
      <c r="L21" s="40">
        <f>'Oct 09'!$K21/$K$2</f>
        <v>1.1115377457738326E-2</v>
      </c>
      <c r="M21" s="34"/>
    </row>
    <row r="22" spans="1:15" s="44" customFormat="1" ht="12.75" customHeight="1" x14ac:dyDescent="0.25">
      <c r="A22" s="34" t="s">
        <v>162</v>
      </c>
      <c r="B22" s="34" t="s">
        <v>19</v>
      </c>
      <c r="C22" s="34" t="s">
        <v>20</v>
      </c>
      <c r="D22" s="35">
        <v>1.1164E-2</v>
      </c>
      <c r="E22" s="36">
        <f>'Oct 09'!$D22*$C$6*$C$2</f>
        <v>1869102.0730519285</v>
      </c>
      <c r="F22" s="36">
        <v>1281.75</v>
      </c>
      <c r="G22" s="37">
        <f>'Oct 09'!$E22/'Oct 09'!$F22</f>
        <v>1458.2423039219259</v>
      </c>
      <c r="H22" s="34">
        <v>1304</v>
      </c>
      <c r="I22" s="34">
        <f>ROUND(Table138958456799101112131445626789101112131415161718192021345678[[#This Row],[Target Quantity]],0)</f>
        <v>1458</v>
      </c>
      <c r="J22" s="38">
        <f t="shared" si="0"/>
        <v>154</v>
      </c>
      <c r="K22" s="39">
        <f>'Oct 09'!$F22*'Oct 09'!$I22</f>
        <v>1868791.5</v>
      </c>
      <c r="L22" s="40">
        <f>'Oct 09'!$K22/$K$2</f>
        <v>1.1113548780622639E-2</v>
      </c>
      <c r="M22" s="34"/>
    </row>
    <row r="23" spans="1:15" s="44" customFormat="1" ht="12.75" customHeight="1" x14ac:dyDescent="0.25">
      <c r="A23" s="34"/>
      <c r="B23" s="34"/>
      <c r="C23" s="34"/>
      <c r="D23" s="35"/>
      <c r="E23" s="36"/>
      <c r="F23" s="36"/>
      <c r="G23" s="37"/>
      <c r="H23" s="34"/>
      <c r="I23" s="34"/>
      <c r="J23" s="45"/>
      <c r="K23" s="36"/>
      <c r="L23" s="46"/>
      <c r="M23" s="34"/>
    </row>
    <row r="24" spans="1:15" s="53" customFormat="1" ht="12.75" customHeight="1" x14ac:dyDescent="0.25">
      <c r="A24" s="47" t="s">
        <v>175</v>
      </c>
      <c r="B24" s="47"/>
      <c r="C24" s="47"/>
      <c r="D24" s="48">
        <f>SUM(D9:D23)</f>
        <v>0.15629600000000005</v>
      </c>
      <c r="E24" s="49">
        <f>'Oct 09'!$D24*$C$6*$C$2</f>
        <v>26167429.022727005</v>
      </c>
      <c r="F24" s="50"/>
      <c r="G24" s="50"/>
      <c r="H24" s="47"/>
      <c r="I24" s="47"/>
      <c r="J24" s="51"/>
      <c r="K24" s="49">
        <f>SUM(K9:K23)</f>
        <v>26166827.463322464</v>
      </c>
      <c r="L24" s="52">
        <f>'Oct 09'!$K24/$K$2</f>
        <v>0.1556119628368228</v>
      </c>
      <c r="M24" s="47"/>
    </row>
    <row r="25" spans="1:15" s="44" customFormat="1" ht="12.75" customHeight="1" x14ac:dyDescent="0.25">
      <c r="A25" s="34"/>
      <c r="B25" s="34"/>
      <c r="C25" s="34"/>
      <c r="D25" s="35"/>
      <c r="E25" s="36"/>
      <c r="F25" s="36"/>
      <c r="G25" s="37"/>
      <c r="H25" s="34"/>
      <c r="I25" s="34"/>
      <c r="J25" s="45"/>
      <c r="K25" s="36"/>
      <c r="L25" s="40"/>
      <c r="M25" s="34"/>
    </row>
    <row r="26" spans="1:15" s="43" customFormat="1" ht="12.75" customHeight="1" x14ac:dyDescent="0.25">
      <c r="A26" s="54"/>
      <c r="B26" s="47" t="s">
        <v>34</v>
      </c>
      <c r="C26" s="54" t="s">
        <v>35</v>
      </c>
      <c r="D26" s="55">
        <v>2.4421999999999999E-2</v>
      </c>
      <c r="E26" s="56">
        <f>'Oct 09'!$D26*$C$6*$C$2</f>
        <v>4088786.3514935682</v>
      </c>
      <c r="F26" s="50">
        <v>18.270001483606201</v>
      </c>
      <c r="G26" s="57">
        <f>'Oct 09'!$E26/'Oct 09'!$F26</f>
        <v>223797.81168394894</v>
      </c>
      <c r="H26" s="54">
        <v>202210</v>
      </c>
      <c r="I26" s="54">
        <v>223798</v>
      </c>
      <c r="J26" s="58">
        <f>I26-H26</f>
        <v>21588</v>
      </c>
      <c r="K26" s="59">
        <f>'Oct 09'!$F26*'Oct 09'!$I26</f>
        <v>4088789.7920281007</v>
      </c>
      <c r="L26" s="52">
        <f>'Oct 09'!$K26/$K$2</f>
        <v>2.4315695361101647E-2</v>
      </c>
      <c r="M26" s="47"/>
      <c r="O26" s="42"/>
    </row>
    <row r="27" spans="1:15" s="43" customFormat="1" ht="12.75" customHeight="1" x14ac:dyDescent="0.25">
      <c r="A27" s="34"/>
      <c r="B27" s="34"/>
      <c r="C27" s="34"/>
      <c r="D27" s="35"/>
      <c r="E27" s="36"/>
      <c r="F27" s="36"/>
      <c r="G27" s="37"/>
      <c r="H27" s="34"/>
      <c r="I27" s="34"/>
      <c r="J27" s="45"/>
      <c r="K27" s="39"/>
      <c r="L27" s="40"/>
      <c r="M27" s="34"/>
      <c r="O27" s="42"/>
    </row>
    <row r="28" spans="1:15" s="2" customFormat="1" ht="25.5" x14ac:dyDescent="0.2">
      <c r="A28" s="34" t="s">
        <v>176</v>
      </c>
      <c r="B28" s="60" t="s">
        <v>109</v>
      </c>
      <c r="C28" s="61" t="s">
        <v>110</v>
      </c>
      <c r="D28" s="35">
        <v>2.4829E-2</v>
      </c>
      <c r="E28" s="36">
        <f>'Oct 09'!$D28*$C$6*$C$2</f>
        <v>4156927.20994324</v>
      </c>
      <c r="F28" s="36">
        <v>158630.47826087</v>
      </c>
      <c r="G28" s="37">
        <f>'Oct 09'!$E28/'Oct 09'!$F28</f>
        <v>26.205097882306802</v>
      </c>
      <c r="H28" s="34">
        <v>23</v>
      </c>
      <c r="I28" s="34">
        <v>26</v>
      </c>
      <c r="J28" s="38">
        <f t="shared" ref="J28:J39" si="1">I28-H28</f>
        <v>3</v>
      </c>
      <c r="K28" s="39">
        <f>'Oct 09'!$F28*'Oct 09'!$I28</f>
        <v>4124392.4347826201</v>
      </c>
      <c r="L28" s="40">
        <f>'Oct 09'!$K28/$K$2</f>
        <v>2.4527421338542913E-2</v>
      </c>
      <c r="M28" s="62"/>
    </row>
    <row r="29" spans="1:15" s="2" customFormat="1" ht="25.5" x14ac:dyDescent="0.2">
      <c r="A29" s="34" t="s">
        <v>176</v>
      </c>
      <c r="B29" s="60" t="s">
        <v>115</v>
      </c>
      <c r="C29" s="61" t="s">
        <v>116</v>
      </c>
      <c r="D29" s="35">
        <v>2.4829E-2</v>
      </c>
      <c r="E29" s="36">
        <f>'Oct 09'!$D29*$C$6*$C$2</f>
        <v>4156927.20994324</v>
      </c>
      <c r="F29" s="36">
        <v>217168.52941176499</v>
      </c>
      <c r="G29" s="37">
        <f>'Oct 09'!$E29/'Oct 09'!$F29</f>
        <v>19.14148067955762</v>
      </c>
      <c r="H29" s="34">
        <v>17</v>
      </c>
      <c r="I29" s="34">
        <v>19</v>
      </c>
      <c r="J29" s="38">
        <f t="shared" si="1"/>
        <v>2</v>
      </c>
      <c r="K29" s="39">
        <f>'Oct 09'!$F29*'Oct 09'!$I29</f>
        <v>4126202.0588235348</v>
      </c>
      <c r="L29" s="40">
        <f>'Oct 09'!$K29/$K$2</f>
        <v>2.4538183023328667E-2</v>
      </c>
      <c r="M29" s="62"/>
    </row>
    <row r="30" spans="1:15" s="2" customFormat="1" ht="25.5" x14ac:dyDescent="0.2">
      <c r="A30" s="34" t="s">
        <v>176</v>
      </c>
      <c r="B30" s="60" t="s">
        <v>121</v>
      </c>
      <c r="C30" s="61" t="s">
        <v>122</v>
      </c>
      <c r="D30" s="35">
        <v>2.4829E-2</v>
      </c>
      <c r="E30" s="36">
        <f>'Oct 09'!$D30*$C$6*$C$2</f>
        <v>4156927.20994324</v>
      </c>
      <c r="F30" s="36">
        <v>174222.14285714299</v>
      </c>
      <c r="G30" s="37">
        <f>'Oct 09'!$E30/'Oct 09'!$F30</f>
        <v>23.859924701717151</v>
      </c>
      <c r="H30" s="34">
        <v>21</v>
      </c>
      <c r="I30" s="34">
        <v>24</v>
      </c>
      <c r="J30" s="38">
        <f t="shared" si="1"/>
        <v>3</v>
      </c>
      <c r="K30" s="39">
        <f>'Oct 09'!$F30*'Oct 09'!$I30</f>
        <v>4181331.4285714319</v>
      </c>
      <c r="L30" s="40">
        <f>'Oct 09'!$K30/$K$2</f>
        <v>2.4866032834256337E-2</v>
      </c>
      <c r="M30" s="62"/>
    </row>
    <row r="31" spans="1:15" s="2" customFormat="1" ht="25.5" x14ac:dyDescent="0.2">
      <c r="A31" s="34" t="s">
        <v>176</v>
      </c>
      <c r="B31" s="60" t="s">
        <v>124</v>
      </c>
      <c r="C31" s="61" t="s">
        <v>125</v>
      </c>
      <c r="D31" s="35">
        <v>2.4829E-2</v>
      </c>
      <c r="E31" s="36">
        <f>'Oct 09'!$D31*$C$6*$C$2</f>
        <v>4156927.20994324</v>
      </c>
      <c r="F31" s="36">
        <v>125750</v>
      </c>
      <c r="G31" s="37">
        <f>'Oct 09'!$E31/'Oct 09'!$F31</f>
        <v>33.057075228176856</v>
      </c>
      <c r="H31" s="34">
        <v>29</v>
      </c>
      <c r="I31" s="34">
        <v>33</v>
      </c>
      <c r="J31" s="38">
        <f t="shared" si="1"/>
        <v>4</v>
      </c>
      <c r="K31" s="39">
        <f>'Oct 09'!$F31*'Oct 09'!$I31</f>
        <v>4149750</v>
      </c>
      <c r="L31" s="40">
        <f>'Oct 09'!$K31/$K$2</f>
        <v>2.467822068560821E-2</v>
      </c>
      <c r="M31" s="62"/>
    </row>
    <row r="32" spans="1:15" s="2" customFormat="1" ht="25.5" x14ac:dyDescent="0.2">
      <c r="A32" s="34" t="s">
        <v>176</v>
      </c>
      <c r="B32" s="60" t="s">
        <v>127</v>
      </c>
      <c r="C32" s="61" t="s">
        <v>128</v>
      </c>
      <c r="D32" s="35">
        <v>2.4829E-2</v>
      </c>
      <c r="E32" s="36">
        <f>'Oct 09'!$D32*$C$6*$C$2</f>
        <v>4156927.20994324</v>
      </c>
      <c r="F32" s="36">
        <v>138911.444444444</v>
      </c>
      <c r="G32" s="37">
        <f>'Oct 09'!$E32/'Oct 09'!$F32</f>
        <v>29.925016088978573</v>
      </c>
      <c r="H32" s="34">
        <v>27</v>
      </c>
      <c r="I32" s="34">
        <v>30</v>
      </c>
      <c r="J32" s="38">
        <f t="shared" si="1"/>
        <v>3</v>
      </c>
      <c r="K32" s="39">
        <f>'Oct 09'!$F32*'Oct 09'!$I32</f>
        <v>4167343.33333332</v>
      </c>
      <c r="L32" s="40">
        <f>'Oct 09'!$K32/$K$2</f>
        <v>2.4782846786601073E-2</v>
      </c>
      <c r="M32" s="62"/>
    </row>
    <row r="33" spans="1:15" s="2" customFormat="1" ht="25.5" x14ac:dyDescent="0.2">
      <c r="A33" s="34" t="s">
        <v>176</v>
      </c>
      <c r="B33" s="60" t="s">
        <v>135</v>
      </c>
      <c r="C33" s="61" t="s">
        <v>136</v>
      </c>
      <c r="D33" s="35">
        <v>2.4829E-2</v>
      </c>
      <c r="E33" s="36">
        <f>'Oct 09'!$D33*$C$6*$C$2</f>
        <v>4156927.20994324</v>
      </c>
      <c r="F33" s="36">
        <v>220840.70588235301</v>
      </c>
      <c r="G33" s="37">
        <f>'Oct 09'!$E33/'Oct 09'!$F33</f>
        <v>18.823192913346926</v>
      </c>
      <c r="H33" s="34">
        <v>17</v>
      </c>
      <c r="I33" s="34">
        <v>19</v>
      </c>
      <c r="J33" s="38">
        <f t="shared" si="1"/>
        <v>2</v>
      </c>
      <c r="K33" s="39">
        <f>'Oct 09'!$F33*'Oct 09'!$I33</f>
        <v>4195973.4117647074</v>
      </c>
      <c r="L33" s="40">
        <f>'Oct 09'!$K33/$K$2</f>
        <v>2.4953107499602108E-2</v>
      </c>
      <c r="M33" s="62"/>
    </row>
    <row r="34" spans="1:15" s="43" customFormat="1" ht="25.5" customHeight="1" x14ac:dyDescent="0.25">
      <c r="A34" s="34" t="s">
        <v>177</v>
      </c>
      <c r="B34" s="34" t="s">
        <v>178</v>
      </c>
      <c r="C34" s="34" t="s">
        <v>179</v>
      </c>
      <c r="D34" s="35">
        <v>2.4829E-2</v>
      </c>
      <c r="E34" s="36">
        <f>'Oct 09'!$D34*$C$6*$C$2</f>
        <v>4156927.20994324</v>
      </c>
      <c r="F34" s="36">
        <v>97503.540540540605</v>
      </c>
      <c r="G34" s="37">
        <f>'Oct 09'!$E34/'Oct 09'!$F34</f>
        <v>42.633602707122705</v>
      </c>
      <c r="H34" s="34">
        <v>37</v>
      </c>
      <c r="I34" s="34">
        <v>43</v>
      </c>
      <c r="J34" s="38">
        <f t="shared" si="1"/>
        <v>6</v>
      </c>
      <c r="K34" s="39">
        <f>'Oct 09'!$F34*'Oct 09'!$I34</f>
        <v>4192652.2432432459</v>
      </c>
      <c r="L34" s="40">
        <f>'Oct 09'!$K34/$K$2</f>
        <v>2.4933356784569462E-2</v>
      </c>
      <c r="M34" s="41"/>
      <c r="O34" s="42"/>
    </row>
    <row r="35" spans="1:15" s="43" customFormat="1" ht="25.5" customHeight="1" x14ac:dyDescent="0.25">
      <c r="A35" s="34" t="s">
        <v>177</v>
      </c>
      <c r="B35" s="34" t="s">
        <v>76</v>
      </c>
      <c r="C35" s="34" t="s">
        <v>77</v>
      </c>
      <c r="D35" s="35">
        <v>2.4829E-2</v>
      </c>
      <c r="E35" s="36">
        <f>'Oct 09'!$D35*$C$6*$C$2</f>
        <v>4156927.20994324</v>
      </c>
      <c r="F35" s="36">
        <v>115117.78125</v>
      </c>
      <c r="G35" s="37">
        <f>'Oct 09'!$E35/'Oct 09'!$F35</f>
        <v>36.110209602769253</v>
      </c>
      <c r="H35" s="34">
        <v>32</v>
      </c>
      <c r="I35" s="34">
        <v>36</v>
      </c>
      <c r="J35" s="38">
        <f t="shared" si="1"/>
        <v>4</v>
      </c>
      <c r="K35" s="39">
        <f>'Oct 09'!$F35*'Oct 09'!$I35</f>
        <v>4144240.125</v>
      </c>
      <c r="L35" s="40">
        <f>'Oct 09'!$K35/$K$2</f>
        <v>2.4645453913826748E-2</v>
      </c>
      <c r="M35" s="41"/>
    </row>
    <row r="36" spans="1:15" s="43" customFormat="1" ht="25.5" customHeight="1" x14ac:dyDescent="0.25">
      <c r="A36" s="34" t="s">
        <v>177</v>
      </c>
      <c r="B36" s="34" t="s">
        <v>180</v>
      </c>
      <c r="C36" s="34" t="s">
        <v>181</v>
      </c>
      <c r="D36" s="35">
        <v>2.4829E-2</v>
      </c>
      <c r="E36" s="36">
        <f>'Oct 09'!$D36*$C$6*$C$2</f>
        <v>4156927.20994324</v>
      </c>
      <c r="F36" s="36">
        <v>114961</v>
      </c>
      <c r="G36" s="37">
        <f>'Oct 09'!$E36/'Oct 09'!$F36</f>
        <v>36.159455901942749</v>
      </c>
      <c r="H36" s="34">
        <v>31</v>
      </c>
      <c r="I36" s="34">
        <v>36</v>
      </c>
      <c r="J36" s="38">
        <f t="shared" si="1"/>
        <v>5</v>
      </c>
      <c r="K36" s="39">
        <f>'Oct 09'!$F36*'Oct 09'!$I36</f>
        <v>4138596</v>
      </c>
      <c r="L36" s="40">
        <f>'Oct 09'!$K36/$K$2</f>
        <v>2.4611888768377707E-2</v>
      </c>
      <c r="M36" s="41"/>
    </row>
    <row r="37" spans="1:15" s="43" customFormat="1" ht="25.5" x14ac:dyDescent="0.25">
      <c r="A37" s="34" t="s">
        <v>177</v>
      </c>
      <c r="B37" s="34" t="s">
        <v>71</v>
      </c>
      <c r="C37" s="34" t="s">
        <v>72</v>
      </c>
      <c r="D37" s="35">
        <v>2.4829E-2</v>
      </c>
      <c r="E37" s="36">
        <f>'Oct 09'!$D37*$C$6*$C$2</f>
        <v>4156927.20994324</v>
      </c>
      <c r="F37" s="36">
        <v>134033.89285714299</v>
      </c>
      <c r="G37" s="37">
        <f>'Oct 09'!$E37/'Oct 09'!$F37</f>
        <v>31.014000424309152</v>
      </c>
      <c r="H37" s="34">
        <v>28</v>
      </c>
      <c r="I37" s="34">
        <v>31</v>
      </c>
      <c r="J37" s="38">
        <f t="shared" si="1"/>
        <v>3</v>
      </c>
      <c r="K37" s="39">
        <f>'Oct 09'!$F37*'Oct 09'!$I37</f>
        <v>4155050.6785714324</v>
      </c>
      <c r="L37" s="40">
        <f>'Oct 09'!$K37/$K$2</f>
        <v>2.4709743383498271E-2</v>
      </c>
      <c r="M37" s="41"/>
    </row>
    <row r="38" spans="1:15" s="43" customFormat="1" ht="25.5" x14ac:dyDescent="0.25">
      <c r="A38" s="34" t="s">
        <v>177</v>
      </c>
      <c r="B38" s="34" t="s">
        <v>67</v>
      </c>
      <c r="C38" s="34" t="s">
        <v>68</v>
      </c>
      <c r="D38" s="35">
        <v>2.4829E-2</v>
      </c>
      <c r="E38" s="36">
        <f>'Oct 09'!$D38*$C$6*$C$2</f>
        <v>4156927.20994324</v>
      </c>
      <c r="F38" s="36">
        <v>176122.61904761899</v>
      </c>
      <c r="G38" s="37">
        <f>'Oct 09'!$E38/'Oct 09'!$F38</f>
        <v>23.602460787954296</v>
      </c>
      <c r="H38" s="34">
        <v>21</v>
      </c>
      <c r="I38" s="34">
        <v>24</v>
      </c>
      <c r="J38" s="38">
        <f t="shared" si="1"/>
        <v>3</v>
      </c>
      <c r="K38" s="39">
        <f>'Oct 09'!$F38*'Oct 09'!$I38</f>
        <v>4226942.8571428563</v>
      </c>
      <c r="L38" s="40">
        <f>'Oct 09'!$K38/$K$2</f>
        <v>2.513728023471937E-2</v>
      </c>
      <c r="M38" s="41"/>
    </row>
    <row r="39" spans="1:15" s="43" customFormat="1" ht="25.5" x14ac:dyDescent="0.25">
      <c r="A39" s="34" t="s">
        <v>177</v>
      </c>
      <c r="B39" s="34" t="s">
        <v>80</v>
      </c>
      <c r="C39" s="34" t="s">
        <v>81</v>
      </c>
      <c r="D39" s="35">
        <v>2.4829E-2</v>
      </c>
      <c r="E39" s="36">
        <f>'Oct 09'!$D39*$C$6*$C$2</f>
        <v>4156927.20994324</v>
      </c>
      <c r="F39" s="36">
        <v>263955.42857142899</v>
      </c>
      <c r="G39" s="37">
        <f>'Oct 09'!$E39/'Oct 09'!$F39</f>
        <v>15.748595255044485</v>
      </c>
      <c r="H39" s="34">
        <v>14</v>
      </c>
      <c r="I39" s="34">
        <v>16</v>
      </c>
      <c r="J39" s="38">
        <f t="shared" si="1"/>
        <v>2</v>
      </c>
      <c r="K39" s="39">
        <f>'Oct 09'!$F39*'Oct 09'!$I39</f>
        <v>4223286.8571428638</v>
      </c>
      <c r="L39" s="40">
        <f>'Oct 09'!$K39/$K$2</f>
        <v>2.511553830452444E-2</v>
      </c>
      <c r="M39" s="41"/>
    </row>
    <row r="40" spans="1:15" s="64" customFormat="1" ht="12.75" x14ac:dyDescent="0.2">
      <c r="A40" s="34"/>
      <c r="B40" s="61"/>
      <c r="C40" s="61"/>
      <c r="D40" s="35"/>
      <c r="E40" s="63"/>
      <c r="F40" s="36"/>
      <c r="G40" s="37"/>
      <c r="H40" s="34"/>
      <c r="I40" s="34"/>
      <c r="J40" s="45"/>
      <c r="K40" s="36"/>
      <c r="L40" s="46"/>
      <c r="M40" s="62"/>
    </row>
    <row r="41" spans="1:15" s="15" customFormat="1" ht="12.75" x14ac:dyDescent="0.2">
      <c r="A41" s="47" t="s">
        <v>182</v>
      </c>
      <c r="B41" s="65"/>
      <c r="C41" s="65"/>
      <c r="D41" s="55">
        <f>SUBTOTAL(9,D28:D40)</f>
        <v>0.29794799999999994</v>
      </c>
      <c r="E41" s="66">
        <f>'Oct 09'!$D41*$C$6*$C$2</f>
        <v>49883126.519318871</v>
      </c>
      <c r="F41" s="67"/>
      <c r="G41" s="68"/>
      <c r="H41" s="54"/>
      <c r="I41" s="54"/>
      <c r="J41" s="58"/>
      <c r="K41" s="66">
        <f>SUM(K28:K40)</f>
        <v>50025761.428376019</v>
      </c>
      <c r="L41" s="69">
        <f>'Oct 09'!$K41/$K$2</f>
        <v>0.29749907355745536</v>
      </c>
      <c r="M41" s="70"/>
    </row>
    <row r="42" spans="1:15" s="64" customFormat="1" ht="12.75" x14ac:dyDescent="0.2">
      <c r="A42" s="34"/>
      <c r="B42" s="61"/>
      <c r="C42" s="61"/>
      <c r="D42" s="35"/>
      <c r="E42" s="63"/>
      <c r="F42" s="36"/>
      <c r="G42" s="37"/>
      <c r="H42" s="34"/>
      <c r="I42" s="34"/>
      <c r="J42" s="45"/>
      <c r="K42" s="36"/>
      <c r="L42" s="40"/>
      <c r="M42" s="62"/>
    </row>
    <row r="43" spans="1:15" s="2" customFormat="1" ht="24.75" customHeight="1" x14ac:dyDescent="0.2">
      <c r="A43" s="34" t="s">
        <v>176</v>
      </c>
      <c r="B43" s="61" t="s">
        <v>183</v>
      </c>
      <c r="C43" s="61" t="s">
        <v>131</v>
      </c>
      <c r="D43" s="35">
        <v>7.1429000000000006E-2</v>
      </c>
      <c r="E43" s="36">
        <f>'Oct 09'!$D43*$C$6*$C$2</f>
        <v>11958804.369045701</v>
      </c>
      <c r="F43" s="36">
        <v>416338.73076923098</v>
      </c>
      <c r="G43" s="37">
        <f>'Oct 09'!$E43/'Oct 09'!$F43</f>
        <v>28.723737392748717</v>
      </c>
      <c r="H43" s="34">
        <v>26</v>
      </c>
      <c r="I43" s="34">
        <v>29</v>
      </c>
      <c r="J43" s="38">
        <f t="shared" ref="J43:J49" si="2">I43-H43</f>
        <v>3</v>
      </c>
      <c r="K43" s="39">
        <f>'Oct 09'!$F43*'Oct 09'!$I43</f>
        <v>12073823.192307699</v>
      </c>
      <c r="L43" s="40">
        <f>'Oct 09'!$K43/$K$2</f>
        <v>7.1802029823190311E-2</v>
      </c>
      <c r="M43" s="62"/>
    </row>
    <row r="44" spans="1:15" s="43" customFormat="1" ht="25.5" x14ac:dyDescent="0.25">
      <c r="A44" s="34" t="s">
        <v>177</v>
      </c>
      <c r="B44" s="34" t="s">
        <v>82</v>
      </c>
      <c r="C44" s="34" t="s">
        <v>83</v>
      </c>
      <c r="D44" s="35">
        <v>7.1429000000000006E-2</v>
      </c>
      <c r="E44" s="36">
        <f>'Oct 09'!$D44*$C$6*$C$2</f>
        <v>11958804.369045701</v>
      </c>
      <c r="F44" s="36">
        <v>249400</v>
      </c>
      <c r="G44" s="37">
        <f>'Oct 09'!$E44/'Oct 09'!$F44</f>
        <v>47.950298191843224</v>
      </c>
      <c r="H44" s="34">
        <v>43</v>
      </c>
      <c r="I44" s="34">
        <v>48</v>
      </c>
      <c r="J44" s="38">
        <f t="shared" si="2"/>
        <v>5</v>
      </c>
      <c r="K44" s="39">
        <f>'Oct 09'!$F44*'Oct 09'!$I44</f>
        <v>11971200</v>
      </c>
      <c r="L44" s="40">
        <f>'Oct 09'!$K44/$K$2</f>
        <v>7.1191738170143501E-2</v>
      </c>
      <c r="M44" s="41"/>
    </row>
    <row r="45" spans="1:15" s="43" customFormat="1" ht="25.5" x14ac:dyDescent="0.25">
      <c r="A45" s="34" t="s">
        <v>177</v>
      </c>
      <c r="B45" s="34" t="s">
        <v>184</v>
      </c>
      <c r="C45" s="34" t="s">
        <v>105</v>
      </c>
      <c r="D45" s="35">
        <v>7.1429000000000006E-2</v>
      </c>
      <c r="E45" s="36">
        <f>'Oct 09'!$D45*$C$6*$C$2</f>
        <v>11958804.369045701</v>
      </c>
      <c r="F45" s="36">
        <v>416364.19230769202</v>
      </c>
      <c r="G45" s="37">
        <f>'Oct 09'!$E45/'Oct 09'!$F45</f>
        <v>28.721980876319396</v>
      </c>
      <c r="H45" s="34">
        <v>26</v>
      </c>
      <c r="I45" s="34">
        <v>29</v>
      </c>
      <c r="J45" s="38">
        <f t="shared" si="2"/>
        <v>3</v>
      </c>
      <c r="K45" s="39">
        <f>'Oct 09'!$F45*'Oct 09'!$I45</f>
        <v>12074561.576923069</v>
      </c>
      <c r="L45" s="40">
        <f>'Oct 09'!$K45/$K$2</f>
        <v>7.1806420935543819E-2</v>
      </c>
      <c r="M45" s="41"/>
    </row>
    <row r="46" spans="1:15" s="43" customFormat="1" ht="25.5" x14ac:dyDescent="0.25">
      <c r="A46" s="34" t="s">
        <v>177</v>
      </c>
      <c r="B46" s="34" t="s">
        <v>107</v>
      </c>
      <c r="C46" s="34" t="s">
        <v>108</v>
      </c>
      <c r="D46" s="35">
        <v>7.1429000000000006E-2</v>
      </c>
      <c r="E46" s="36">
        <f>'Oct 09'!$D46*$C$6*$C$2</f>
        <v>11958804.369045701</v>
      </c>
      <c r="F46" s="36">
        <v>249818.744186047</v>
      </c>
      <c r="G46" s="37">
        <f>'Oct 09'!$E46/'Oct 09'!$F46</f>
        <v>47.86992428454306</v>
      </c>
      <c r="H46" s="34">
        <v>43</v>
      </c>
      <c r="I46" s="34">
        <v>48</v>
      </c>
      <c r="J46" s="38">
        <f t="shared" si="2"/>
        <v>5</v>
      </c>
      <c r="K46" s="39">
        <f>'Oct 09'!$F46*'Oct 09'!$I46</f>
        <v>11991299.720930256</v>
      </c>
      <c r="L46" s="40">
        <f>'Oct 09'!$K46/$K$2</f>
        <v>7.1311269551271525E-2</v>
      </c>
      <c r="M46" s="41"/>
    </row>
    <row r="47" spans="1:15" s="43" customFormat="1" ht="25.5" x14ac:dyDescent="0.25">
      <c r="A47" s="34" t="s">
        <v>177</v>
      </c>
      <c r="B47" s="34" t="s">
        <v>185</v>
      </c>
      <c r="C47" s="34" t="s">
        <v>86</v>
      </c>
      <c r="D47" s="35">
        <v>7.1429000000000006E-2</v>
      </c>
      <c r="E47" s="36">
        <f>'Oct 09'!$D47*$C$6*$C$2</f>
        <v>11958804.369045701</v>
      </c>
      <c r="F47" s="36">
        <v>161610.62686567201</v>
      </c>
      <c r="G47" s="37">
        <f>'Oct 09'!$E47/'Oct 09'!$F47</f>
        <v>73.997636176398572</v>
      </c>
      <c r="H47" s="34">
        <v>67</v>
      </c>
      <c r="I47" s="34">
        <v>74</v>
      </c>
      <c r="J47" s="38">
        <f t="shared" si="2"/>
        <v>7</v>
      </c>
      <c r="K47" s="39">
        <f>'Oct 09'!$F47*'Oct 09'!$I47</f>
        <v>11959186.388059728</v>
      </c>
      <c r="L47" s="40">
        <f>'Oct 09'!$K47/$K$2</f>
        <v>7.1120294211665686E-2</v>
      </c>
      <c r="M47" s="41"/>
    </row>
    <row r="48" spans="1:15" s="43" customFormat="1" ht="25.5" x14ac:dyDescent="0.25">
      <c r="A48" s="34" t="s">
        <v>177</v>
      </c>
      <c r="B48" s="34" t="s">
        <v>186</v>
      </c>
      <c r="C48" s="34" t="s">
        <v>187</v>
      </c>
      <c r="D48" s="35">
        <v>7.1429000000000006E-2</v>
      </c>
      <c r="E48" s="36">
        <f>'Oct 09'!$D48*$C$6*$C$2</f>
        <v>11958804.369045701</v>
      </c>
      <c r="F48" s="36">
        <v>176754.06557377</v>
      </c>
      <c r="G48" s="37">
        <f>'Oct 09'!$E48/'Oct 09'!$F48</f>
        <v>67.657874404334876</v>
      </c>
      <c r="H48" s="34">
        <v>61</v>
      </c>
      <c r="I48" s="34">
        <v>68</v>
      </c>
      <c r="J48" s="38">
        <f t="shared" si="2"/>
        <v>7</v>
      </c>
      <c r="K48" s="39">
        <f>'Oct 09'!$F48*'Oct 09'!$I48</f>
        <v>12019276.45901636</v>
      </c>
      <c r="L48" s="40">
        <f>'Oct 09'!$K48/$K$2</f>
        <v>7.1477644903172807E-2</v>
      </c>
      <c r="M48" s="41"/>
    </row>
    <row r="49" spans="1:16" s="43" customFormat="1" ht="25.5" x14ac:dyDescent="0.25">
      <c r="A49" s="34" t="s">
        <v>177</v>
      </c>
      <c r="B49" s="34" t="s">
        <v>188</v>
      </c>
      <c r="C49" s="34" t="s">
        <v>189</v>
      </c>
      <c r="D49" s="35">
        <v>7.1429000000000006E-2</v>
      </c>
      <c r="E49" s="36">
        <f>'Oct 09'!$D49*$C$6*$C$2</f>
        <v>11958804.369045701</v>
      </c>
      <c r="F49" s="36">
        <v>717562.6</v>
      </c>
      <c r="G49" s="37">
        <f>'Oct 09'!$E49/'Oct 09'!$F49</f>
        <v>16.665869108905206</v>
      </c>
      <c r="H49" s="34">
        <v>15</v>
      </c>
      <c r="I49" s="34">
        <v>17</v>
      </c>
      <c r="J49" s="38">
        <f t="shared" si="2"/>
        <v>2</v>
      </c>
      <c r="K49" s="39">
        <f>'Oct 09'!$F49*'Oct 09'!$I49</f>
        <v>12198564.199999999</v>
      </c>
      <c r="L49" s="40">
        <f>'Oct 09'!$K49/$K$2</f>
        <v>7.254385429849021E-2</v>
      </c>
      <c r="M49" s="41"/>
    </row>
    <row r="50" spans="1:16" s="44" customFormat="1" ht="12.75" x14ac:dyDescent="0.25">
      <c r="A50" s="34"/>
      <c r="B50" s="34"/>
      <c r="C50" s="34"/>
      <c r="D50" s="35"/>
      <c r="E50" s="36"/>
      <c r="F50" s="36"/>
      <c r="G50" s="37"/>
      <c r="H50" s="34"/>
      <c r="I50" s="34"/>
      <c r="J50" s="45"/>
      <c r="K50" s="36"/>
      <c r="L50" s="40"/>
      <c r="M50" s="34"/>
    </row>
    <row r="51" spans="1:16" s="53" customFormat="1" ht="25.5" x14ac:dyDescent="0.25">
      <c r="A51" s="47" t="s">
        <v>190</v>
      </c>
      <c r="B51" s="47"/>
      <c r="C51" s="47"/>
      <c r="D51" s="55">
        <f>SUBTOTAL(9,D43:D50)</f>
        <v>0.50000300000000009</v>
      </c>
      <c r="E51" s="49">
        <f>'Oct 09'!$D51*$C$6*$C$2</f>
        <v>83711630.583319917</v>
      </c>
      <c r="F51" s="68"/>
      <c r="G51" s="68"/>
      <c r="H51" s="54"/>
      <c r="I51" s="54"/>
      <c r="J51" s="58"/>
      <c r="K51" s="49">
        <f>SUM(K43:K50)</f>
        <v>84287911.537237123</v>
      </c>
      <c r="L51" s="71">
        <f>'Oct 09'!$K51/$K$2</f>
        <v>0.50125325189347791</v>
      </c>
      <c r="M51" s="47"/>
    </row>
    <row r="52" spans="1:16" s="44" customFormat="1" ht="12.75" x14ac:dyDescent="0.25">
      <c r="A52" s="34"/>
      <c r="B52" s="34"/>
      <c r="C52" s="34"/>
      <c r="D52" s="35"/>
      <c r="E52" s="36"/>
      <c r="F52" s="36"/>
      <c r="G52" s="37"/>
      <c r="H52" s="34"/>
      <c r="I52" s="34"/>
      <c r="J52" s="45"/>
      <c r="K52" s="36"/>
      <c r="L52" s="40"/>
      <c r="M52" s="34"/>
    </row>
    <row r="53" spans="1:16" s="43" customFormat="1" ht="12.75" x14ac:dyDescent="0.25">
      <c r="A53" s="34"/>
      <c r="B53" s="34"/>
      <c r="C53" s="34"/>
      <c r="D53" s="35"/>
      <c r="E53" s="36"/>
      <c r="F53" s="36"/>
      <c r="G53" s="72"/>
      <c r="H53" s="34"/>
      <c r="I53" s="34"/>
      <c r="J53" s="38"/>
      <c r="K53" s="39"/>
      <c r="L53" s="40"/>
      <c r="M53" s="41"/>
    </row>
    <row r="54" spans="1:16" s="43" customFormat="1" ht="25.5" x14ac:dyDescent="0.25">
      <c r="A54" s="34" t="s">
        <v>191</v>
      </c>
      <c r="B54" s="34" t="s">
        <v>192</v>
      </c>
      <c r="C54" s="34" t="s">
        <v>64</v>
      </c>
      <c r="D54" s="35">
        <v>9.77E-4</v>
      </c>
      <c r="E54" s="36">
        <f>'Oct 09'!$D54*$C$6*$C$2</f>
        <v>163571.54473053871</v>
      </c>
      <c r="F54" s="36">
        <v>45180.333333333299</v>
      </c>
      <c r="G54" s="72">
        <f>'Oct 09'!$E54/'Oct 09'!$F54</f>
        <v>3.6204147393896791</v>
      </c>
      <c r="H54" s="34">
        <v>3</v>
      </c>
      <c r="I54" s="34">
        <v>3</v>
      </c>
      <c r="J54" s="38">
        <f t="shared" ref="J54:J63" si="3">I54-H54</f>
        <v>0</v>
      </c>
      <c r="K54" s="39">
        <f>'Oct 09'!$F54*'Oct 09'!$I54</f>
        <v>135540.99999999988</v>
      </c>
      <c r="L54" s="40">
        <f>'Oct 09'!$K54/$K$2</f>
        <v>8.0605113800783651E-4</v>
      </c>
      <c r="M54" s="41"/>
    </row>
    <row r="55" spans="1:16" s="43" customFormat="1" ht="25.5" x14ac:dyDescent="0.25">
      <c r="A55" s="34" t="s">
        <v>191</v>
      </c>
      <c r="B55" s="34" t="s">
        <v>193</v>
      </c>
      <c r="C55" s="34" t="s">
        <v>74</v>
      </c>
      <c r="D55" s="35">
        <v>9.77E-4</v>
      </c>
      <c r="E55" s="36">
        <f>'Oct 09'!$D55*$C$6*$C$2</f>
        <v>163571.54473053871</v>
      </c>
      <c r="F55" s="36">
        <v>168419</v>
      </c>
      <c r="G55" s="72">
        <f>'Oct 09'!$E55/'Oct 09'!$F55</f>
        <v>0.9712178835555294</v>
      </c>
      <c r="H55" s="34">
        <v>1</v>
      </c>
      <c r="I55" s="34">
        <v>1</v>
      </c>
      <c r="J55" s="38">
        <f t="shared" si="3"/>
        <v>0</v>
      </c>
      <c r="K55" s="39">
        <f>'Oct 09'!$F55*'Oct 09'!$I55</f>
        <v>168419</v>
      </c>
      <c r="L55" s="40">
        <f>'Oct 09'!$K55/$K$2</f>
        <v>1.0015738899088978E-3</v>
      </c>
      <c r="M55" s="41"/>
      <c r="P55" s="43" t="s">
        <v>194</v>
      </c>
    </row>
    <row r="56" spans="1:16" s="43" customFormat="1" ht="25.5" x14ac:dyDescent="0.25">
      <c r="A56" s="34" t="s">
        <v>191</v>
      </c>
      <c r="B56" s="34" t="s">
        <v>195</v>
      </c>
      <c r="C56" s="34" t="s">
        <v>93</v>
      </c>
      <c r="D56" s="35">
        <v>9.77E-4</v>
      </c>
      <c r="E56" s="36">
        <f>'Oct 09'!$D56*$C$6*$C$2</f>
        <v>163571.54473053871</v>
      </c>
      <c r="F56" s="36">
        <v>89887</v>
      </c>
      <c r="G56" s="72">
        <f>'Oct 09'!$E56/'Oct 09'!$F56</f>
        <v>1.819746400820349</v>
      </c>
      <c r="H56" s="34">
        <v>2</v>
      </c>
      <c r="I56" s="34">
        <v>2</v>
      </c>
      <c r="J56" s="38">
        <f t="shared" si="3"/>
        <v>0</v>
      </c>
      <c r="K56" s="39">
        <f>'Oct 09'!$F56*'Oct 09'!$I56</f>
        <v>179774</v>
      </c>
      <c r="L56" s="40">
        <f>'Oct 09'!$K56/$K$2</f>
        <v>1.0691011375467269E-3</v>
      </c>
      <c r="M56" s="41"/>
    </row>
    <row r="57" spans="1:16" s="43" customFormat="1" ht="25.5" x14ac:dyDescent="0.25">
      <c r="A57" s="34" t="s">
        <v>191</v>
      </c>
      <c r="B57" s="34" t="s">
        <v>94</v>
      </c>
      <c r="C57" s="34" t="s">
        <v>95</v>
      </c>
      <c r="D57" s="35">
        <v>9.77E-4</v>
      </c>
      <c r="E57" s="36">
        <f>'Oct 09'!$D57*$C$6*$C$2</f>
        <v>163571.54473053871</v>
      </c>
      <c r="F57" s="36">
        <v>242966</v>
      </c>
      <c r="G57" s="72">
        <f>'Oct 09'!$E57/'Oct 09'!$F57</f>
        <v>0.67322812546010025</v>
      </c>
      <c r="H57" s="34">
        <v>1</v>
      </c>
      <c r="I57" s="34">
        <v>1</v>
      </c>
      <c r="J57" s="38">
        <f t="shared" si="3"/>
        <v>0</v>
      </c>
      <c r="K57" s="39">
        <f>'Oct 09'!$F57*'Oct 09'!$I57</f>
        <v>242966</v>
      </c>
      <c r="L57" s="40">
        <f>'Oct 09'!$K57/$K$2</f>
        <v>1.4448987450086112E-3</v>
      </c>
      <c r="M57" s="41"/>
    </row>
    <row r="58" spans="1:16" s="43" customFormat="1" ht="25.5" x14ac:dyDescent="0.25">
      <c r="A58" s="34" t="s">
        <v>191</v>
      </c>
      <c r="B58" s="34" t="s">
        <v>196</v>
      </c>
      <c r="C58" s="34" t="s">
        <v>197</v>
      </c>
      <c r="D58" s="35">
        <v>9.77E-4</v>
      </c>
      <c r="E58" s="36">
        <f>'Oct 09'!$D58*$C$6*$C$2</f>
        <v>163571.54473053871</v>
      </c>
      <c r="F58" s="36">
        <v>44626</v>
      </c>
      <c r="G58" s="72">
        <f>'Oct 09'!$E58/'Oct 09'!$F58</f>
        <v>3.6653866519638485</v>
      </c>
      <c r="H58" s="34">
        <v>3</v>
      </c>
      <c r="I58" s="34">
        <v>3</v>
      </c>
      <c r="J58" s="38">
        <f t="shared" si="3"/>
        <v>0</v>
      </c>
      <c r="K58" s="39">
        <f>'Oct 09'!$F58*'Oct 09'!$I58</f>
        <v>133878</v>
      </c>
      <c r="L58" s="40">
        <f>'Oct 09'!$K58/$K$2</f>
        <v>7.961614142895008E-4</v>
      </c>
      <c r="M58" s="41"/>
    </row>
    <row r="59" spans="1:16" s="43" customFormat="1" ht="25.5" x14ac:dyDescent="0.25">
      <c r="A59" s="34" t="s">
        <v>191</v>
      </c>
      <c r="B59" s="34" t="s">
        <v>198</v>
      </c>
      <c r="C59" s="34" t="s">
        <v>199</v>
      </c>
      <c r="D59" s="35">
        <v>9.77E-4</v>
      </c>
      <c r="E59" s="36">
        <f>'Oct 09'!$D59*$C$6*$C$2</f>
        <v>163571.54473053871</v>
      </c>
      <c r="F59" s="36">
        <v>44139.333333333299</v>
      </c>
      <c r="G59" s="72">
        <f>'Oct 09'!$E59/'Oct 09'!$F59</f>
        <v>3.7058000739447543</v>
      </c>
      <c r="H59" s="34">
        <v>3</v>
      </c>
      <c r="I59" s="34">
        <v>3</v>
      </c>
      <c r="J59" s="38">
        <f t="shared" si="3"/>
        <v>0</v>
      </c>
      <c r="K59" s="39">
        <f>'Oct 09'!$F59*'Oct 09'!$I59</f>
        <v>132417.99999999988</v>
      </c>
      <c r="L59" s="40">
        <f>'Oct 09'!$K59/$K$2</f>
        <v>7.8747891481338996E-4</v>
      </c>
      <c r="M59" s="41"/>
    </row>
    <row r="60" spans="1:16" s="43" customFormat="1" ht="25.5" x14ac:dyDescent="0.25">
      <c r="A60" s="34" t="s">
        <v>191</v>
      </c>
      <c r="B60" s="34" t="s">
        <v>200</v>
      </c>
      <c r="C60" s="34" t="s">
        <v>99</v>
      </c>
      <c r="D60" s="35">
        <v>9.77E-4</v>
      </c>
      <c r="E60" s="36">
        <f>'Oct 09'!$D60*$C$6*$C$2</f>
        <v>163571.54473053871</v>
      </c>
      <c r="F60" s="36">
        <v>12469.727272727299</v>
      </c>
      <c r="G60" s="72">
        <f>'Oct 09'!$E60/'Oct 09'!$F60</f>
        <v>13.117491758483615</v>
      </c>
      <c r="H60" s="34">
        <v>11</v>
      </c>
      <c r="I60" s="34">
        <v>13</v>
      </c>
      <c r="J60" s="38">
        <f t="shared" si="3"/>
        <v>2</v>
      </c>
      <c r="K60" s="39">
        <f>'Oct 09'!$F60*'Oct 09'!$I60</f>
        <v>162106.45454545488</v>
      </c>
      <c r="L60" s="40">
        <f>'Oct 09'!$K60/$K$2</f>
        <v>9.6403370319519282E-4</v>
      </c>
      <c r="M60" s="41"/>
    </row>
    <row r="61" spans="1:16" s="43" customFormat="1" ht="25.5" x14ac:dyDescent="0.25">
      <c r="A61" s="34" t="s">
        <v>191</v>
      </c>
      <c r="B61" s="34" t="s">
        <v>201</v>
      </c>
      <c r="C61" s="34" t="s">
        <v>102</v>
      </c>
      <c r="D61" s="35">
        <v>9.77E-4</v>
      </c>
      <c r="E61" s="36">
        <f>'Oct 09'!$D61*$C$6*$C$2</f>
        <v>163571.54473053871</v>
      </c>
      <c r="F61" s="36">
        <v>91235.5</v>
      </c>
      <c r="G61" s="72">
        <f>'Oct 09'!$E61/'Oct 09'!$F61</f>
        <v>1.7928497649548554</v>
      </c>
      <c r="H61" s="34">
        <v>2</v>
      </c>
      <c r="I61" s="34">
        <v>2</v>
      </c>
      <c r="J61" s="38">
        <f t="shared" si="3"/>
        <v>0</v>
      </c>
      <c r="K61" s="39">
        <f>'Oct 09'!$F61*'Oct 09'!$I61</f>
        <v>182471</v>
      </c>
      <c r="L61" s="40">
        <f>'Oct 09'!$K61/$K$2</f>
        <v>1.085139973907733E-3</v>
      </c>
      <c r="M61" s="41"/>
    </row>
    <row r="62" spans="1:16" s="2" customFormat="1" ht="25.5" x14ac:dyDescent="0.2">
      <c r="A62" s="34" t="s">
        <v>191</v>
      </c>
      <c r="B62" s="61" t="s">
        <v>202</v>
      </c>
      <c r="C62" s="61" t="s">
        <v>133</v>
      </c>
      <c r="D62" s="35">
        <v>9.77E-4</v>
      </c>
      <c r="E62" s="36">
        <f>'Oct 09'!$D62*$C$6*$C$2</f>
        <v>163571.54473053871</v>
      </c>
      <c r="F62" s="36">
        <v>60447.5</v>
      </c>
      <c r="G62" s="72">
        <f>'Oct 09'!$E62/'Oct 09'!$F62</f>
        <v>2.7060100869438557</v>
      </c>
      <c r="H62" s="34">
        <v>2</v>
      </c>
      <c r="I62" s="34">
        <v>3</v>
      </c>
      <c r="J62" s="38">
        <f t="shared" si="3"/>
        <v>1</v>
      </c>
      <c r="K62" s="39">
        <f>'Oct 09'!$F62*'Oct 09'!$I62</f>
        <v>181342.5</v>
      </c>
      <c r="L62" s="40">
        <f>'Oct 09'!$K62/$K$2</f>
        <v>1.0784288775660959E-3</v>
      </c>
      <c r="M62" s="62"/>
    </row>
    <row r="63" spans="1:16" s="43" customFormat="1" ht="25.5" x14ac:dyDescent="0.25">
      <c r="A63" s="34" t="s">
        <v>191</v>
      </c>
      <c r="B63" s="34" t="s">
        <v>203</v>
      </c>
      <c r="C63" s="34" t="s">
        <v>204</v>
      </c>
      <c r="D63" s="35">
        <v>9.77E-4</v>
      </c>
      <c r="E63" s="36">
        <f>'Oct 09'!$D63*$C$6*$C$2</f>
        <v>163571.54473053871</v>
      </c>
      <c r="F63" s="36">
        <v>121928</v>
      </c>
      <c r="G63" s="72">
        <f>'Oct 09'!$E63/'Oct 09'!$F63</f>
        <v>1.3415420964055731</v>
      </c>
      <c r="H63" s="34">
        <v>1</v>
      </c>
      <c r="I63" s="34">
        <v>1</v>
      </c>
      <c r="J63" s="38">
        <f t="shared" si="3"/>
        <v>0</v>
      </c>
      <c r="K63" s="39">
        <f>'Oct 09'!$F63*'Oct 09'!$I63</f>
        <v>121928</v>
      </c>
      <c r="L63" s="40">
        <f>'Oct 09'!$K63/$K$2</f>
        <v>7.2509575076928434E-4</v>
      </c>
      <c r="M63" s="41"/>
    </row>
    <row r="64" spans="1:16" s="43" customFormat="1" ht="12.75" x14ac:dyDescent="0.25">
      <c r="A64" s="34"/>
      <c r="B64" s="34"/>
      <c r="C64" s="34"/>
      <c r="D64" s="35"/>
      <c r="E64" s="36"/>
      <c r="F64" s="36"/>
      <c r="G64" s="37"/>
      <c r="H64" s="34"/>
      <c r="I64" s="34"/>
      <c r="J64" s="41"/>
      <c r="K64" s="39"/>
      <c r="L64" s="40"/>
      <c r="M64" s="41"/>
    </row>
    <row r="65" spans="1:13" s="43" customFormat="1" ht="12.75" x14ac:dyDescent="0.25">
      <c r="A65" s="34"/>
      <c r="B65" s="34"/>
      <c r="C65" s="34"/>
      <c r="D65" s="35"/>
      <c r="E65" s="36"/>
      <c r="F65" s="36"/>
      <c r="G65" s="37"/>
      <c r="H65" s="34"/>
      <c r="I65" s="34"/>
      <c r="J65" s="41"/>
      <c r="K65" s="39"/>
      <c r="L65" s="40"/>
      <c r="M65" s="41"/>
    </row>
    <row r="66" spans="1:13" s="43" customFormat="1" ht="12.75" x14ac:dyDescent="0.25">
      <c r="A66" s="34"/>
      <c r="B66" s="34"/>
      <c r="C66" s="34"/>
      <c r="D66" s="35"/>
      <c r="E66" s="36"/>
      <c r="F66" s="36"/>
      <c r="G66" s="37"/>
      <c r="H66" s="34"/>
      <c r="I66" s="34"/>
      <c r="J66" s="41"/>
      <c r="K66" s="39"/>
      <c r="L66" s="40"/>
      <c r="M66" s="41"/>
    </row>
    <row r="67" spans="1:13" s="43" customFormat="1" ht="12.75" x14ac:dyDescent="0.25">
      <c r="A67" s="34"/>
      <c r="B67" s="34"/>
      <c r="C67" s="34"/>
      <c r="D67" s="35"/>
      <c r="E67" s="36"/>
      <c r="F67" s="36"/>
      <c r="G67" s="37"/>
      <c r="H67" s="34"/>
      <c r="I67" s="34"/>
      <c r="J67" s="41"/>
      <c r="K67" s="39"/>
      <c r="L67" s="40"/>
      <c r="M67" s="41"/>
    </row>
    <row r="68" spans="1:13" s="43" customFormat="1" ht="12.75" x14ac:dyDescent="0.25">
      <c r="A68" s="34"/>
      <c r="B68" s="34"/>
      <c r="C68" s="34"/>
      <c r="D68" s="35"/>
      <c r="E68" s="36"/>
      <c r="F68" s="36"/>
      <c r="G68" s="37"/>
      <c r="H68" s="34"/>
      <c r="I68" s="34"/>
      <c r="J68" s="41"/>
      <c r="K68" s="39"/>
      <c r="L68" s="40"/>
      <c r="M68" s="41"/>
    </row>
    <row r="69" spans="1:13" s="43" customFormat="1" ht="12.75" x14ac:dyDescent="0.25">
      <c r="A69" s="34"/>
      <c r="B69" s="34"/>
      <c r="C69" s="34"/>
      <c r="D69" s="35"/>
      <c r="E69" s="36"/>
      <c r="F69" s="36"/>
      <c r="G69" s="37"/>
      <c r="H69" s="34"/>
      <c r="I69" s="34"/>
      <c r="J69" s="41"/>
      <c r="K69" s="39"/>
      <c r="L69" s="40"/>
      <c r="M69" s="41"/>
    </row>
    <row r="70" spans="1:13" s="43" customFormat="1" ht="12.75" x14ac:dyDescent="0.25">
      <c r="A70" s="34"/>
      <c r="B70" s="34"/>
      <c r="C70" s="34"/>
      <c r="D70" s="35"/>
      <c r="E70" s="36"/>
      <c r="F70" s="36"/>
      <c r="G70" s="37"/>
      <c r="H70" s="34"/>
      <c r="I70" s="34"/>
      <c r="J70" s="41"/>
      <c r="K70" s="39"/>
      <c r="L70" s="40"/>
      <c r="M70" s="41"/>
    </row>
    <row r="71" spans="1:13" s="15" customFormat="1" ht="12.75" x14ac:dyDescent="0.2">
      <c r="A71" s="47" t="s">
        <v>205</v>
      </c>
      <c r="B71" s="65"/>
      <c r="C71" s="65"/>
      <c r="D71" s="88">
        <f>SUM(D54:D70)</f>
        <v>9.7700000000000026E-3</v>
      </c>
      <c r="E71" s="49">
        <f>SUM(E53:E70)</f>
        <v>1635715.4473053871</v>
      </c>
      <c r="F71" s="68"/>
      <c r="G71" s="68"/>
      <c r="H71" s="65"/>
      <c r="I71" s="65"/>
      <c r="J71" s="47"/>
      <c r="K71" s="49">
        <f>SUM(K53:K70)</f>
        <v>1640843.9545454546</v>
      </c>
      <c r="L71" s="52">
        <f>'Oct 09'!$K71/$K$2</f>
        <v>9.7579635450132686E-3</v>
      </c>
      <c r="M71" s="59"/>
    </row>
    <row r="72" spans="1:13" s="2" customFormat="1" ht="12.75" x14ac:dyDescent="0.2">
      <c r="A72" s="34"/>
      <c r="B72" s="61"/>
      <c r="C72" s="61"/>
      <c r="D72" s="74"/>
      <c r="E72" s="36"/>
      <c r="F72" s="36"/>
      <c r="G72" s="37"/>
      <c r="H72" s="61"/>
      <c r="I72" s="61"/>
      <c r="J72" s="34"/>
      <c r="K72" s="34"/>
      <c r="L72" s="40"/>
      <c r="M72" s="62"/>
    </row>
    <row r="73" spans="1:13" s="43" customFormat="1" ht="25.5" x14ac:dyDescent="0.25">
      <c r="A73" s="47" t="s">
        <v>206</v>
      </c>
      <c r="B73" s="54" t="s">
        <v>207</v>
      </c>
      <c r="C73" s="54" t="s">
        <v>119</v>
      </c>
      <c r="D73" s="55">
        <v>1.1561E-2</v>
      </c>
      <c r="E73" s="56">
        <f>'Oct 09'!$D73*$C$6*$C$2</f>
        <v>1935568.7089352692</v>
      </c>
      <c r="F73" s="56">
        <v>27774.42</v>
      </c>
      <c r="G73" s="57">
        <f>'Oct 09'!$E73/'Oct 09'!$F73</f>
        <v>69.688897515601383</v>
      </c>
      <c r="H73" s="54">
        <v>50</v>
      </c>
      <c r="I73" s="54">
        <v>70</v>
      </c>
      <c r="J73" s="75">
        <f>I73-H73</f>
        <v>20</v>
      </c>
      <c r="K73" s="56">
        <f>'Oct 09'!$F73*'Oct 09'!$I73</f>
        <v>1944209.4</v>
      </c>
      <c r="L73" s="76">
        <f>'Oct 09'!$K73/$K$2</f>
        <v>1.1562052806129024E-2</v>
      </c>
      <c r="M73" s="54"/>
    </row>
    <row r="74" spans="1:13" s="2" customFormat="1" ht="12.75" x14ac:dyDescent="0.2">
      <c r="A74" s="34"/>
      <c r="B74" s="61"/>
      <c r="C74" s="61"/>
      <c r="D74" s="74"/>
      <c r="E74" s="36"/>
      <c r="F74" s="36"/>
      <c r="G74" s="37"/>
      <c r="H74" s="61"/>
      <c r="I74" s="61"/>
      <c r="J74" s="34"/>
      <c r="K74" s="34"/>
      <c r="L74" s="40"/>
      <c r="M74" s="62"/>
    </row>
    <row r="75" spans="1:13" s="2" customFormat="1" ht="12.75" x14ac:dyDescent="0.2">
      <c r="A75" s="34"/>
      <c r="B75" s="61"/>
      <c r="C75" s="61"/>
      <c r="D75" s="77"/>
      <c r="E75" s="63"/>
      <c r="F75" s="36"/>
      <c r="G75" s="37"/>
      <c r="H75" s="61"/>
      <c r="I75" s="61"/>
      <c r="J75" s="34"/>
      <c r="K75" s="34"/>
      <c r="L75" s="40"/>
      <c r="M75" s="62"/>
    </row>
    <row r="76" spans="1:13" s="15" customFormat="1" ht="12.75" x14ac:dyDescent="0.2">
      <c r="A76" s="47" t="s">
        <v>208</v>
      </c>
      <c r="B76" s="65"/>
      <c r="C76" s="65"/>
      <c r="D76" s="65"/>
      <c r="E76" s="78"/>
      <c r="F76" s="78"/>
      <c r="G76" s="47"/>
      <c r="H76" s="65"/>
      <c r="I76" s="65"/>
      <c r="J76" s="65"/>
      <c r="K76" s="78">
        <f>SUM(K24,K26,K41,K51,K71,K73)</f>
        <v>168154343.57550919</v>
      </c>
      <c r="L76" s="52">
        <f>'Oct 09'!$K76/$K$2</f>
        <v>1.0000000000000002</v>
      </c>
      <c r="M76" s="65"/>
    </row>
    <row r="77" spans="1:13" s="2" customFormat="1" ht="12.75" x14ac:dyDescent="0.2">
      <c r="A77" s="62"/>
      <c r="B77" s="62"/>
      <c r="C77" s="62"/>
      <c r="D77" s="79"/>
      <c r="E77" s="80"/>
      <c r="F77" s="36"/>
      <c r="G77" s="81"/>
      <c r="H77" s="62"/>
      <c r="I77" s="62"/>
      <c r="J77" s="62"/>
      <c r="K77" s="62"/>
      <c r="L77" s="40"/>
      <c r="M77" s="62"/>
    </row>
    <row r="78" spans="1:13" s="2" customFormat="1" ht="12.75" x14ac:dyDescent="0.2">
      <c r="A78" s="62"/>
      <c r="B78" s="62"/>
      <c r="C78" s="62"/>
      <c r="D78" s="79"/>
      <c r="E78" s="80"/>
      <c r="F78" s="36"/>
      <c r="G78" s="81"/>
      <c r="H78" s="62"/>
      <c r="I78" s="62"/>
      <c r="J78" s="62"/>
      <c r="K78" s="62"/>
      <c r="L78" s="40"/>
      <c r="M78" s="62"/>
    </row>
    <row r="79" spans="1:13" s="2" customFormat="1" ht="12.75" x14ac:dyDescent="0.2">
      <c r="A79" s="62"/>
      <c r="B79" s="62"/>
      <c r="C79" s="62"/>
      <c r="D79" s="79"/>
      <c r="E79" s="80"/>
      <c r="F79" s="36"/>
      <c r="G79" s="81"/>
      <c r="H79" s="62"/>
      <c r="I79" s="62"/>
      <c r="J79" s="62"/>
      <c r="K79" s="62"/>
      <c r="L79" s="40"/>
      <c r="M79" s="62"/>
    </row>
    <row r="80" spans="1:13" s="2" customFormat="1" ht="12.75" x14ac:dyDescent="0.2">
      <c r="A80" s="62"/>
      <c r="B80" s="62"/>
      <c r="C80" s="62"/>
      <c r="D80" s="79"/>
      <c r="E80" s="80"/>
      <c r="F80" s="36"/>
      <c r="G80" s="81"/>
      <c r="H80" s="62"/>
      <c r="I80" s="62"/>
      <c r="J80" s="62"/>
      <c r="K80" s="62"/>
      <c r="L80" s="40"/>
      <c r="M80" s="62"/>
    </row>
    <row r="81" spans="1:13" s="2" customFormat="1" ht="12.75" x14ac:dyDescent="0.2">
      <c r="A81" s="62"/>
      <c r="B81" s="62"/>
      <c r="C81" s="62"/>
      <c r="D81" s="79"/>
      <c r="E81" s="80"/>
      <c r="F81" s="36"/>
      <c r="G81" s="81"/>
      <c r="H81" s="62"/>
      <c r="I81" s="62"/>
      <c r="J81" s="62"/>
      <c r="K81" s="62"/>
      <c r="L81" s="40"/>
      <c r="M81" s="62"/>
    </row>
    <row r="82" spans="1:13" s="2" customFormat="1" ht="12.75" x14ac:dyDescent="0.2">
      <c r="A82" s="62"/>
      <c r="B82" s="62"/>
      <c r="C82" s="62"/>
      <c r="D82" s="79"/>
      <c r="E82" s="80"/>
      <c r="F82" s="36"/>
      <c r="G82" s="81"/>
      <c r="H82" s="62"/>
      <c r="I82" s="62"/>
      <c r="J82" s="62"/>
      <c r="K82" s="62"/>
      <c r="L82" s="40"/>
      <c r="M82" s="62"/>
    </row>
    <row r="83" spans="1:13" s="2" customFormat="1" ht="12.75" x14ac:dyDescent="0.2">
      <c r="A83" s="62"/>
      <c r="B83" s="62"/>
      <c r="C83" s="62"/>
      <c r="D83" s="79"/>
      <c r="E83" s="80"/>
      <c r="F83" s="36"/>
      <c r="G83" s="81"/>
      <c r="H83" s="62"/>
      <c r="I83" s="62"/>
      <c r="J83" s="62"/>
      <c r="K83" s="62"/>
      <c r="L83" s="40"/>
      <c r="M83" s="62"/>
    </row>
    <row r="84" spans="1:13" s="2" customFormat="1" ht="12.75" x14ac:dyDescent="0.2">
      <c r="A84" s="62"/>
      <c r="B84" s="62"/>
      <c r="C84" s="62"/>
      <c r="D84" s="79"/>
      <c r="E84" s="80"/>
      <c r="F84" s="36"/>
      <c r="G84" s="81"/>
      <c r="H84" s="62"/>
      <c r="I84" s="62"/>
      <c r="J84" s="62"/>
      <c r="K84" s="62"/>
      <c r="L84" s="40"/>
      <c r="M84" s="62"/>
    </row>
    <row r="85" spans="1:13" s="2" customFormat="1" ht="12.75" x14ac:dyDescent="0.2">
      <c r="A85" s="62"/>
      <c r="B85" s="62"/>
      <c r="C85" s="62"/>
      <c r="D85" s="79"/>
      <c r="E85" s="80"/>
      <c r="F85" s="36"/>
      <c r="G85" s="81"/>
      <c r="H85" s="62"/>
      <c r="I85" s="62"/>
      <c r="J85" s="62"/>
      <c r="K85" s="62"/>
      <c r="L85" s="40"/>
      <c r="M85" s="62"/>
    </row>
    <row r="86" spans="1:13" s="2" customFormat="1" ht="12.75" x14ac:dyDescent="0.2"/>
    <row r="87" spans="1:13" s="2" customFormat="1" ht="12.75" x14ac:dyDescent="0.2"/>
    <row r="89" spans="1:13" s="2" customFormat="1" ht="12.75" x14ac:dyDescent="0.2">
      <c r="A89" s="82"/>
      <c r="B89" s="82"/>
      <c r="E89" s="82"/>
      <c r="F89" s="82"/>
      <c r="G89" s="82"/>
      <c r="H89" s="83"/>
      <c r="M89" s="82"/>
    </row>
    <row r="90" spans="1:13" s="2" customFormat="1" ht="12.75" x14ac:dyDescent="0.2">
      <c r="A90" s="82"/>
      <c r="B90" s="82"/>
      <c r="E90" s="82"/>
      <c r="F90" s="82"/>
      <c r="G90" s="82"/>
      <c r="H90" s="83"/>
      <c r="M90" s="82"/>
    </row>
    <row r="91" spans="1:13" s="2" customFormat="1" ht="12.75" x14ac:dyDescent="0.2">
      <c r="A91" s="84"/>
      <c r="B91" s="84"/>
    </row>
    <row r="92" spans="1:13" s="2" customFormat="1" ht="12.75" x14ac:dyDescent="0.2">
      <c r="A92" s="85"/>
      <c r="B92" s="85"/>
      <c r="E92" s="85"/>
      <c r="F92" s="84"/>
      <c r="G92" s="84"/>
      <c r="M92" s="86"/>
    </row>
    <row r="93" spans="1:13" s="2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96"/>
  <sheetViews>
    <sheetView zoomScale="125" zoomScaleNormal="125" workbookViewId="0">
      <pane xSplit="2" topLeftCell="C1" activePane="topRight" state="frozen"/>
      <selection pane="topRight" activeCell="O8" sqref="O8"/>
    </sheetView>
  </sheetViews>
  <sheetFormatPr defaultColWidth="9.140625" defaultRowHeight="15" x14ac:dyDescent="0.25"/>
  <cols>
    <col min="1" max="2" width="15.140625" style="2" customWidth="1"/>
    <col min="3" max="3" width="29.28515625" style="2" customWidth="1"/>
    <col min="4" max="4" width="14.85546875" style="2" customWidth="1"/>
    <col min="5" max="5" width="27.42578125" style="2" customWidth="1"/>
    <col min="6" max="7" width="13.7109375" style="2" customWidth="1"/>
    <col min="8" max="8" width="16.5703125" style="2" customWidth="1"/>
    <col min="9" max="9" width="15.5703125" style="2" customWidth="1"/>
    <col min="10" max="10" width="13.42578125" customWidth="1"/>
    <col min="11" max="11" width="23.5703125" customWidth="1"/>
    <col min="12" max="12" width="13.42578125" customWidth="1"/>
    <col min="13" max="13" width="22.5703125" style="2" customWidth="1"/>
    <col min="14" max="16" width="10.85546875" style="2" customWidth="1"/>
    <col min="17" max="17" width="11.28515625" style="2" customWidth="1"/>
    <col min="18" max="1022" width="9.140625" style="2"/>
  </cols>
  <sheetData>
    <row r="1" spans="1:17" s="2" customFormat="1" ht="25.5" x14ac:dyDescent="0.2">
      <c r="A1" s="3"/>
      <c r="B1" s="3" t="s">
        <v>138</v>
      </c>
      <c r="C1" s="4">
        <v>44116</v>
      </c>
      <c r="D1" s="5"/>
      <c r="E1" s="6" t="s">
        <v>139</v>
      </c>
      <c r="F1" s="7"/>
      <c r="G1" s="8"/>
      <c r="K1" s="9" t="s">
        <v>140</v>
      </c>
      <c r="L1" s="9" t="s">
        <v>141</v>
      </c>
      <c r="M1" s="10" t="s">
        <v>142</v>
      </c>
    </row>
    <row r="2" spans="1:17" x14ac:dyDescent="0.25">
      <c r="A2" s="3"/>
      <c r="B2" s="3" t="s">
        <v>143</v>
      </c>
      <c r="C2" s="11">
        <v>9.1929999999999996</v>
      </c>
      <c r="D2" s="12"/>
      <c r="E2" s="13">
        <f>SUM(E27,E44,E54,E74,E29,E76)</f>
        <v>177255587.99583846</v>
      </c>
      <c r="F2" s="14"/>
      <c r="G2" s="15"/>
      <c r="H2" s="12"/>
      <c r="I2" s="12"/>
      <c r="J2" s="12"/>
      <c r="K2" s="13">
        <f>SUM(K27,K44,K54,K74,K29,K76)</f>
        <v>177501135.12932259</v>
      </c>
      <c r="L2" s="16">
        <f>SUM(L54,L74,L44,L27,L29,L76)</f>
        <v>1</v>
      </c>
      <c r="M2" s="17">
        <f>K2/$C$6</f>
        <v>9.2056703617525777</v>
      </c>
      <c r="N2" s="18"/>
    </row>
    <row r="3" spans="1:17" ht="26.25" x14ac:dyDescent="0.25">
      <c r="A3" s="3"/>
      <c r="B3" s="3" t="s">
        <v>144</v>
      </c>
      <c r="C3" s="19">
        <v>19281717.48</v>
      </c>
      <c r="D3" s="20"/>
      <c r="E3" s="6" t="s">
        <v>145</v>
      </c>
      <c r="F3" s="14"/>
      <c r="G3" s="15"/>
      <c r="H3" s="12"/>
      <c r="I3" s="12"/>
      <c r="J3" s="12"/>
      <c r="K3" s="6" t="s">
        <v>145</v>
      </c>
      <c r="L3" s="12"/>
      <c r="M3" s="10" t="s">
        <v>146</v>
      </c>
      <c r="N3" s="21"/>
    </row>
    <row r="4" spans="1:17" x14ac:dyDescent="0.25">
      <c r="A4" s="3"/>
      <c r="B4" s="3" t="s">
        <v>147</v>
      </c>
      <c r="C4" s="19">
        <v>0</v>
      </c>
      <c r="D4" s="20"/>
      <c r="E4" s="13">
        <f>SUM(E27,E74,E29)</f>
        <v>33713185.295577571</v>
      </c>
      <c r="F4" s="14"/>
      <c r="G4" s="15"/>
      <c r="H4" s="12"/>
      <c r="I4" s="12"/>
      <c r="J4" s="12"/>
      <c r="K4" s="13">
        <f>SUM(K27,K29,K74)</f>
        <v>33744289.1988113</v>
      </c>
      <c r="L4" s="12"/>
      <c r="M4" s="17">
        <f>K4/$C$6</f>
        <v>1.7500665712902719</v>
      </c>
      <c r="N4" s="21"/>
    </row>
    <row r="5" spans="1:17" x14ac:dyDescent="0.25">
      <c r="A5" s="3"/>
      <c r="B5" s="3" t="s">
        <v>148</v>
      </c>
      <c r="C5" s="19">
        <v>0</v>
      </c>
      <c r="D5" s="20"/>
      <c r="E5" s="14"/>
      <c r="F5" s="14"/>
      <c r="G5" s="22">
        <f>SUM(D27,D29,D44,D54,D74,D76)</f>
        <v>0.99999300000000013</v>
      </c>
      <c r="H5" s="12"/>
      <c r="I5" s="12"/>
      <c r="J5" s="12"/>
      <c r="K5" s="12"/>
      <c r="L5" s="12"/>
      <c r="M5" s="12"/>
      <c r="N5" s="21"/>
    </row>
    <row r="6" spans="1:17" x14ac:dyDescent="0.25">
      <c r="A6" s="3"/>
      <c r="B6" s="3" t="s">
        <v>149</v>
      </c>
      <c r="C6" s="19">
        <f>C3+C4-C5</f>
        <v>19281717.48</v>
      </c>
      <c r="D6" s="20"/>
      <c r="E6" s="14"/>
      <c r="F6" s="14"/>
      <c r="G6" s="15"/>
      <c r="H6" s="12"/>
      <c r="I6" s="12"/>
      <c r="J6" s="12"/>
      <c r="K6" s="12"/>
      <c r="L6" s="12"/>
      <c r="M6" s="12"/>
      <c r="N6" s="21"/>
    </row>
    <row r="7" spans="1:17" x14ac:dyDescent="0.25">
      <c r="A7" s="23"/>
      <c r="B7" s="24"/>
      <c r="C7" s="24"/>
      <c r="D7" s="25"/>
      <c r="E7" s="26"/>
      <c r="F7" s="26"/>
      <c r="G7" s="26"/>
      <c r="H7" s="27"/>
      <c r="I7" s="27"/>
      <c r="J7" s="27"/>
      <c r="K7" s="12"/>
      <c r="L7" s="12"/>
      <c r="M7" s="12"/>
      <c r="N7" s="21"/>
    </row>
    <row r="8" spans="1:17" s="32" customFormat="1" ht="38.25" x14ac:dyDescent="0.2">
      <c r="A8" s="28" t="s">
        <v>150</v>
      </c>
      <c r="B8" s="28" t="s">
        <v>151</v>
      </c>
      <c r="C8" s="29" t="s">
        <v>1</v>
      </c>
      <c r="D8" s="29" t="s">
        <v>152</v>
      </c>
      <c r="E8" s="29" t="s">
        <v>153</v>
      </c>
      <c r="F8" s="29" t="s">
        <v>154</v>
      </c>
      <c r="G8" s="29" t="s">
        <v>155</v>
      </c>
      <c r="H8" s="29" t="s">
        <v>156</v>
      </c>
      <c r="I8" s="29" t="s">
        <v>157</v>
      </c>
      <c r="J8" s="29" t="s">
        <v>158</v>
      </c>
      <c r="K8" s="30" t="s">
        <v>159</v>
      </c>
      <c r="L8" s="30" t="s">
        <v>160</v>
      </c>
      <c r="M8" s="30" t="s">
        <v>161</v>
      </c>
      <c r="N8" s="31"/>
      <c r="Q8" s="33"/>
    </row>
    <row r="9" spans="1:17" s="43" customFormat="1" ht="12.75" x14ac:dyDescent="0.25">
      <c r="A9" s="34" t="s">
        <v>162</v>
      </c>
      <c r="B9" s="34" t="s">
        <v>46</v>
      </c>
      <c r="C9" s="34" t="s">
        <v>47</v>
      </c>
      <c r="D9" s="35">
        <v>1.1147000000000001E-2</v>
      </c>
      <c r="E9" s="36">
        <f>'Oct 12'!$D9*$C$6*$C$2</f>
        <v>1975881.8705627052</v>
      </c>
      <c r="F9" s="36">
        <v>558.15983485697404</v>
      </c>
      <c r="G9" s="37">
        <f>'Oct 12'!$E9/'Oct 12'!$F9</f>
        <v>3539.992932434875</v>
      </c>
      <c r="H9" s="34">
        <v>3391</v>
      </c>
      <c r="I9" s="34">
        <f>ROUND(Table1389584567991011121314456267891011121314151617181920213456789[[#This Row],[Target Quantity]],0)</f>
        <v>3540</v>
      </c>
      <c r="J9" s="38">
        <f t="shared" ref="J9:J25" si="0">I9-H9</f>
        <v>149</v>
      </c>
      <c r="K9" s="39">
        <f>'Oct 12'!$F9*'Oct 12'!$I9</f>
        <v>1975885.8153936882</v>
      </c>
      <c r="L9" s="40">
        <f>'Oct 12'!$K9/$K$2</f>
        <v>1.1131679884492629E-2</v>
      </c>
      <c r="M9" s="41"/>
      <c r="N9" s="42"/>
      <c r="O9" s="87"/>
    </row>
    <row r="10" spans="1:17" s="43" customFormat="1" ht="12.75" customHeight="1" x14ac:dyDescent="0.25">
      <c r="A10" s="34" t="s">
        <v>162</v>
      </c>
      <c r="B10" s="34" t="s">
        <v>55</v>
      </c>
      <c r="C10" s="34" t="s">
        <v>56</v>
      </c>
      <c r="D10" s="35">
        <v>1.1147000000000001E-2</v>
      </c>
      <c r="E10" s="36">
        <f>'Oct 12'!$D10*$C$6*$C$2</f>
        <v>1975881.8705627052</v>
      </c>
      <c r="F10" s="36">
        <v>439.90004616805197</v>
      </c>
      <c r="G10" s="37">
        <f>'Oct 12'!$E10/'Oct 12'!$F10</f>
        <v>4491.6609756568942</v>
      </c>
      <c r="H10" s="34">
        <v>4332</v>
      </c>
      <c r="I10" s="34">
        <f>ROUND(Table1389584567991011121314456267891011121314151617181920213456789[[#This Row],[Target Quantity]],0)</f>
        <v>4492</v>
      </c>
      <c r="J10" s="38">
        <f t="shared" si="0"/>
        <v>160</v>
      </c>
      <c r="K10" s="39">
        <f>'Oct 12'!$F10*'Oct 12'!$I10</f>
        <v>1976031.0073868895</v>
      </c>
      <c r="L10" s="40">
        <f>'Oct 12'!$K10/$K$2</f>
        <v>1.1132497862321872E-2</v>
      </c>
      <c r="M10" s="41"/>
    </row>
    <row r="11" spans="1:17" s="43" customFormat="1" ht="12.75" customHeight="1" x14ac:dyDescent="0.25">
      <c r="A11" s="34" t="s">
        <v>162</v>
      </c>
      <c r="B11" s="34" t="s">
        <v>37</v>
      </c>
      <c r="C11" s="34" t="s">
        <v>38</v>
      </c>
      <c r="D11" s="35">
        <v>1.1147000000000001E-2</v>
      </c>
      <c r="E11" s="36">
        <f>'Oct 12'!$D11*$C$6*$C$2</f>
        <v>1975881.8705627052</v>
      </c>
      <c r="F11" s="36">
        <v>81.550008461668597</v>
      </c>
      <c r="G11" s="37">
        <f>'Oct 12'!$E11/'Oct 12'!$F11</f>
        <v>24229.082348795095</v>
      </c>
      <c r="H11" s="34">
        <v>23636</v>
      </c>
      <c r="I11" s="34">
        <f>ROUND(Table1389584567991011121314456267891011121314151617181920213456789[[#This Row],[Target Quantity]],0)</f>
        <v>24229</v>
      </c>
      <c r="J11" s="38">
        <f t="shared" si="0"/>
        <v>593</v>
      </c>
      <c r="K11" s="39">
        <f>'Oct 12'!$F11*'Oct 12'!$I11</f>
        <v>1975875.1550177685</v>
      </c>
      <c r="L11" s="40">
        <f>'Oct 12'!$K11/$K$2</f>
        <v>1.1131619826420821E-2</v>
      </c>
      <c r="M11" s="41"/>
    </row>
    <row r="12" spans="1:17" s="44" customFormat="1" ht="12.75" customHeight="1" x14ac:dyDescent="0.25">
      <c r="A12" s="34" t="s">
        <v>162</v>
      </c>
      <c r="B12" s="34" t="s">
        <v>23</v>
      </c>
      <c r="C12" s="34" t="s">
        <v>24</v>
      </c>
      <c r="D12" s="35">
        <v>1.1147000000000001E-2</v>
      </c>
      <c r="E12" s="36">
        <f>'Oct 12'!$D12*$C$6*$C$2</f>
        <v>1975881.8705627052</v>
      </c>
      <c r="F12" s="36">
        <v>228.86004488012301</v>
      </c>
      <c r="G12" s="37">
        <f>'Oct 12'!$E12/'Oct 12'!$F12</f>
        <v>8633.5815917438667</v>
      </c>
      <c r="H12" s="34">
        <v>8467</v>
      </c>
      <c r="I12" s="34">
        <f>ROUND(Table1389584567991011121314456267891011121314151617181920213456789[[#This Row],[Target Quantity]],0)</f>
        <v>8634</v>
      </c>
      <c r="J12" s="38">
        <f t="shared" si="0"/>
        <v>167</v>
      </c>
      <c r="K12" s="39">
        <f>'Oct 12'!$F12*'Oct 12'!$I12</f>
        <v>1975977.627494982</v>
      </c>
      <c r="L12" s="40">
        <f>'Oct 12'!$K12/$K$2</f>
        <v>1.1132197132459673E-2</v>
      </c>
      <c r="M12" s="34"/>
    </row>
    <row r="13" spans="1:17" s="44" customFormat="1" ht="12.75" customHeight="1" x14ac:dyDescent="0.25">
      <c r="A13" s="34" t="s">
        <v>162</v>
      </c>
      <c r="B13" s="34" t="s">
        <v>60</v>
      </c>
      <c r="C13" s="34" t="s">
        <v>61</v>
      </c>
      <c r="D13" s="35">
        <v>1.1147000000000001E-2</v>
      </c>
      <c r="E13" s="36">
        <f>'Oct 12'!$D13*$C$6*$C$2</f>
        <v>1975881.8705627052</v>
      </c>
      <c r="F13" s="36">
        <v>498</v>
      </c>
      <c r="G13" s="37">
        <f>'Oct 12'!$E13/'Oct 12'!$F13</f>
        <v>3967.634278238364</v>
      </c>
      <c r="H13" s="34">
        <v>3898</v>
      </c>
      <c r="I13" s="34">
        <f>ROUND(Table1389584567991011121314456267891011121314151617181920213456789[[#This Row],[Target Quantity]],0)</f>
        <v>3968</v>
      </c>
      <c r="J13" s="38">
        <f t="shared" si="0"/>
        <v>70</v>
      </c>
      <c r="K13" s="39">
        <f>'Oct 12'!$F13*'Oct 12'!$I13</f>
        <v>1976064</v>
      </c>
      <c r="L13" s="40">
        <f>'Oct 12'!$K13/$K$2</f>
        <v>1.1132683735009878E-2</v>
      </c>
      <c r="M13" s="34"/>
    </row>
    <row r="14" spans="1:17" s="44" customFormat="1" ht="12.75" customHeight="1" x14ac:dyDescent="0.25">
      <c r="A14" s="34" t="s">
        <v>162</v>
      </c>
      <c r="B14" s="34" t="s">
        <v>163</v>
      </c>
      <c r="C14" s="34" t="s">
        <v>164</v>
      </c>
      <c r="D14" s="35">
        <v>1.1147000000000001E-2</v>
      </c>
      <c r="E14" s="36">
        <f>'Oct 12'!$D14*$C$6*$C$2</f>
        <v>1975881.8705627052</v>
      </c>
      <c r="F14" s="36">
        <v>3333</v>
      </c>
      <c r="G14" s="37">
        <f>'Oct 12'!$E14/'Oct 12'!$F14</f>
        <v>592.82384355316685</v>
      </c>
      <c r="H14" s="34">
        <v>583</v>
      </c>
      <c r="I14" s="34">
        <f>ROUND(Table1389584567991011121314456267891011121314151617181920213456789[[#This Row],[Target Quantity]],0)</f>
        <v>593</v>
      </c>
      <c r="J14" s="38">
        <f t="shared" si="0"/>
        <v>10</v>
      </c>
      <c r="K14" s="39">
        <f>'Oct 12'!$F14*'Oct 12'!$I14</f>
        <v>1976469</v>
      </c>
      <c r="L14" s="40">
        <f>'Oct 12'!$K14/$K$2</f>
        <v>1.1134965410559191E-2</v>
      </c>
      <c r="M14" s="34"/>
    </row>
    <row r="15" spans="1:17" s="44" customFormat="1" ht="12.75" customHeight="1" x14ac:dyDescent="0.25">
      <c r="A15" s="34" t="s">
        <v>162</v>
      </c>
      <c r="B15" s="34" t="s">
        <v>52</v>
      </c>
      <c r="C15" s="34" t="s">
        <v>53</v>
      </c>
      <c r="D15" s="35">
        <v>0</v>
      </c>
      <c r="E15" s="36">
        <f>'Oct 12'!$D15*$C$6*$C$2</f>
        <v>0</v>
      </c>
      <c r="F15" s="36">
        <v>199.09998967048901</v>
      </c>
      <c r="G15" s="37">
        <f>'Oct 12'!$E15/'Oct 12'!$F15</f>
        <v>0</v>
      </c>
      <c r="H15" s="34">
        <v>9681</v>
      </c>
      <c r="I15" s="34">
        <f>ROUND(Table1389584567991011121314456267891011121314151617181920213456789[[#This Row],[Target Quantity]],0)</f>
        <v>0</v>
      </c>
      <c r="J15" s="38">
        <f t="shared" si="0"/>
        <v>-9681</v>
      </c>
      <c r="K15" s="39">
        <f>'Oct 12'!$F15*'Oct 12'!$I15</f>
        <v>0</v>
      </c>
      <c r="L15" s="40">
        <f>'Oct 12'!$K15/$K$2</f>
        <v>0</v>
      </c>
      <c r="M15" s="34"/>
    </row>
    <row r="16" spans="1:17" s="44" customFormat="1" ht="12.75" customHeight="1" x14ac:dyDescent="0.25">
      <c r="A16" s="34" t="s">
        <v>162</v>
      </c>
      <c r="B16" s="34" t="s">
        <v>165</v>
      </c>
      <c r="C16" s="34" t="s">
        <v>166</v>
      </c>
      <c r="D16" s="35">
        <v>1.1147000000000001E-2</v>
      </c>
      <c r="E16" s="36">
        <f>'Oct 12'!$D16*$C$6*$C$2</f>
        <v>1975881.8705627052</v>
      </c>
      <c r="F16" s="36">
        <v>298.28003740065498</v>
      </c>
      <c r="G16" s="37">
        <f>'Oct 12'!$E16/'Oct 12'!$F16</f>
        <v>6624.2511157683211</v>
      </c>
      <c r="H16" s="34">
        <v>6417</v>
      </c>
      <c r="I16" s="34">
        <f>ROUND(Table1389584567991011121314456267891011121314151617181920213456789[[#This Row],[Target Quantity]],0)</f>
        <v>6624</v>
      </c>
      <c r="J16" s="38">
        <f t="shared" si="0"/>
        <v>207</v>
      </c>
      <c r="K16" s="39">
        <f>'Oct 12'!$F16*'Oct 12'!$I16</f>
        <v>1975806.9677419385</v>
      </c>
      <c r="L16" s="40">
        <f>'Oct 12'!$K16/$K$2</f>
        <v>1.1131235675210856E-2</v>
      </c>
      <c r="M16" s="34"/>
    </row>
    <row r="17" spans="1:15" s="44" customFormat="1" ht="12.75" customHeight="1" x14ac:dyDescent="0.25">
      <c r="A17" s="34" t="s">
        <v>162</v>
      </c>
      <c r="B17" s="34" t="s">
        <v>43</v>
      </c>
      <c r="C17" s="34" t="s">
        <v>44</v>
      </c>
      <c r="D17" s="35">
        <v>1.1147000000000001E-2</v>
      </c>
      <c r="E17" s="36">
        <f>'Oct 12'!$D17*$C$6*$C$2</f>
        <v>1975881.8705627052</v>
      </c>
      <c r="F17" s="36">
        <v>1199.83985102421</v>
      </c>
      <c r="G17" s="37">
        <f>'Oct 12'!$E17/'Oct 12'!$F17</f>
        <v>1646.7880016454267</v>
      </c>
      <c r="H17" s="34">
        <v>1611</v>
      </c>
      <c r="I17" s="34">
        <f>ROUND(Table1389584567991011121314456267891011121314151617181920213456789[[#This Row],[Target Quantity]],0)</f>
        <v>1647</v>
      </c>
      <c r="J17" s="38">
        <f t="shared" si="0"/>
        <v>36</v>
      </c>
      <c r="K17" s="39">
        <f>'Oct 12'!$F17*'Oct 12'!$I17</f>
        <v>1976136.2346368739</v>
      </c>
      <c r="L17" s="40">
        <f>'Oct 12'!$K17/$K$2</f>
        <v>1.1133090688108072E-2</v>
      </c>
      <c r="M17" s="34"/>
    </row>
    <row r="18" spans="1:15" s="44" customFormat="1" ht="12.75" customHeight="1" x14ac:dyDescent="0.25">
      <c r="A18" s="34" t="s">
        <v>162</v>
      </c>
      <c r="B18" s="34" t="s">
        <v>167</v>
      </c>
      <c r="C18" s="34" t="s">
        <v>168</v>
      </c>
      <c r="D18" s="35">
        <v>1.1147000000000001E-2</v>
      </c>
      <c r="E18" s="36">
        <f>'Oct 12'!$D18*$C$6*$C$2</f>
        <v>1975881.8705627052</v>
      </c>
      <c r="F18" s="36">
        <v>174.68999906794701</v>
      </c>
      <c r="G18" s="37">
        <f>'Oct 12'!$E18/'Oct 12'!$F18</f>
        <v>11310.78986264217</v>
      </c>
      <c r="H18" s="34">
        <v>10729</v>
      </c>
      <c r="I18" s="34">
        <f>ROUND(Table1389584567991011121314456267891011121314151617181920213456789[[#This Row],[Target Quantity]],0)</f>
        <v>11311</v>
      </c>
      <c r="J18" s="38">
        <f t="shared" si="0"/>
        <v>582</v>
      </c>
      <c r="K18" s="39">
        <f>'Oct 12'!$F18*'Oct 12'!$I18</f>
        <v>1975918.5794575487</v>
      </c>
      <c r="L18" s="40">
        <f>'Oct 12'!$K18/$K$2</f>
        <v>1.1131864469587461E-2</v>
      </c>
      <c r="M18" s="34"/>
    </row>
    <row r="19" spans="1:15" s="44" customFormat="1" ht="12.75" customHeight="1" x14ac:dyDescent="0.25">
      <c r="A19" s="34" t="s">
        <v>162</v>
      </c>
      <c r="B19" s="34" t="s">
        <v>28</v>
      </c>
      <c r="C19" s="34" t="s">
        <v>29</v>
      </c>
      <c r="D19" s="35">
        <v>1.1147000000000001E-2</v>
      </c>
      <c r="E19" s="36">
        <f>'Oct 12'!$D19*$C$6*$C$2</f>
        <v>1975881.8705627052</v>
      </c>
      <c r="F19" s="36">
        <v>273.80005841974599</v>
      </c>
      <c r="G19" s="37">
        <f>'Oct 12'!$E19/'Oct 12'!$F19</f>
        <v>7216.5136923879045</v>
      </c>
      <c r="H19" s="34">
        <v>6847</v>
      </c>
      <c r="I19" s="34">
        <f>ROUND(Table1389584567991011121314456267891011121314151617181920213456789[[#This Row],[Target Quantity]],0)</f>
        <v>7217</v>
      </c>
      <c r="J19" s="38">
        <f t="shared" si="0"/>
        <v>370</v>
      </c>
      <c r="K19" s="39">
        <f>'Oct 12'!$F19*'Oct 12'!$I19</f>
        <v>1976015.0216153068</v>
      </c>
      <c r="L19" s="40">
        <f>'Oct 12'!$K19/$K$2</f>
        <v>1.1132407802212842E-2</v>
      </c>
      <c r="M19" s="34"/>
    </row>
    <row r="20" spans="1:15" s="44" customFormat="1" ht="12.75" customHeight="1" x14ac:dyDescent="0.25">
      <c r="A20" s="34" t="s">
        <v>162</v>
      </c>
      <c r="B20" s="34" t="s">
        <v>169</v>
      </c>
      <c r="C20" s="34" t="s">
        <v>170</v>
      </c>
      <c r="D20" s="35">
        <v>0</v>
      </c>
      <c r="E20" s="36">
        <f>'Oct 12'!$D20*$C$6*$C$2</f>
        <v>0</v>
      </c>
      <c r="F20" s="36">
        <v>200.78001063264199</v>
      </c>
      <c r="G20" s="37">
        <f>'Oct 12'!$E20/'Oct 12'!$F20</f>
        <v>0</v>
      </c>
      <c r="H20" s="34">
        <v>9405</v>
      </c>
      <c r="I20" s="34">
        <f>ROUND(Table1389584567991011121314456267891011121314151617181920213456789[[#This Row],[Target Quantity]],0)</f>
        <v>0</v>
      </c>
      <c r="J20" s="38">
        <f t="shared" si="0"/>
        <v>-9405</v>
      </c>
      <c r="K20" s="39">
        <f>'Oct 12'!$F20*'Oct 12'!$I20</f>
        <v>0</v>
      </c>
      <c r="L20" s="40">
        <f>'Oct 12'!$K20/$K$2</f>
        <v>0</v>
      </c>
      <c r="M20" s="34"/>
    </row>
    <row r="21" spans="1:15" s="44" customFormat="1" ht="12.75" customHeight="1" x14ac:dyDescent="0.25">
      <c r="A21" s="34" t="s">
        <v>162</v>
      </c>
      <c r="B21" s="34" t="s">
        <v>173</v>
      </c>
      <c r="C21" s="34" t="s">
        <v>174</v>
      </c>
      <c r="D21" s="35">
        <v>1.1147000000000001E-2</v>
      </c>
      <c r="E21" s="36">
        <f>'Oct 12'!$D21*$C$6*$C$2</f>
        <v>1975881.8705627052</v>
      </c>
      <c r="F21" s="36">
        <v>83.979982440737501</v>
      </c>
      <c r="G21" s="37">
        <f>'Oct 12'!$E21/'Oct 12'!$F21</f>
        <v>23528.010046406402</v>
      </c>
      <c r="H21" s="34">
        <v>22780</v>
      </c>
      <c r="I21" s="34">
        <f>ROUND(Table1389584567991011121314456267891011121314151617181920213456789[[#This Row],[Target Quantity]],0)</f>
        <v>23528</v>
      </c>
      <c r="J21" s="38">
        <f t="shared" si="0"/>
        <v>748</v>
      </c>
      <c r="K21" s="39">
        <f>'Oct 12'!$F21*'Oct 12'!$I21</f>
        <v>1975881.0268656719</v>
      </c>
      <c r="L21" s="40">
        <f>'Oct 12'!$K21/$K$2</f>
        <v>1.1131652907042525E-2</v>
      </c>
      <c r="M21" s="34"/>
    </row>
    <row r="22" spans="1:15" s="44" customFormat="1" ht="12.75" customHeight="1" x14ac:dyDescent="0.25">
      <c r="A22" s="34" t="s">
        <v>162</v>
      </c>
      <c r="B22" s="34" t="s">
        <v>19</v>
      </c>
      <c r="C22" s="34" t="s">
        <v>20</v>
      </c>
      <c r="D22" s="35">
        <v>1.1147000000000001E-2</v>
      </c>
      <c r="E22" s="36">
        <f>'Oct 12'!$D22*$C$6*$C$2</f>
        <v>1975881.8705627052</v>
      </c>
      <c r="F22" s="36">
        <v>1281.9897119341599</v>
      </c>
      <c r="G22" s="37">
        <f>'Oct 12'!$E22/'Oct 12'!$F22</f>
        <v>1541.2618776648826</v>
      </c>
      <c r="H22" s="34">
        <v>1458</v>
      </c>
      <c r="I22" s="34">
        <f>ROUND(Table1389584567991011121314456267891011121314151617181920213456789[[#This Row],[Target Quantity]],0)</f>
        <v>1541</v>
      </c>
      <c r="J22" s="38">
        <f t="shared" si="0"/>
        <v>83</v>
      </c>
      <c r="K22" s="39">
        <f>'Oct 12'!$F22*'Oct 12'!$I22</f>
        <v>1975546.1460905403</v>
      </c>
      <c r="L22" s="40">
        <f>'Oct 12'!$K22/$K$2</f>
        <v>1.1129766266853506E-2</v>
      </c>
      <c r="M22" s="34"/>
    </row>
    <row r="23" spans="1:15" s="44" customFormat="1" ht="12.75" customHeight="1" x14ac:dyDescent="0.25">
      <c r="A23" s="34" t="s">
        <v>162</v>
      </c>
      <c r="B23" s="34" t="s">
        <v>25</v>
      </c>
      <c r="C23" s="34" t="s">
        <v>26</v>
      </c>
      <c r="D23" s="35">
        <v>5.574E-3</v>
      </c>
      <c r="E23" s="36">
        <f>'Oct 12'!$D23*$C$6*$C$2</f>
        <v>988029.56369574938</v>
      </c>
      <c r="F23" s="36">
        <v>17.2</v>
      </c>
      <c r="G23" s="37">
        <f>'Oct 12'!$E23/'Oct 12'!$F23</f>
        <v>57443.579284636595</v>
      </c>
      <c r="H23" s="34">
        <v>0</v>
      </c>
      <c r="I23" s="34">
        <f>ROUND(Table1389584567991011121314456267891011121314151617181920213456789[[#This Row],[Target Quantity]],0)</f>
        <v>57444</v>
      </c>
      <c r="J23" s="38">
        <f t="shared" si="0"/>
        <v>57444</v>
      </c>
      <c r="K23" s="39">
        <f>'Oct 12'!$F23*'Oct 12'!$I23</f>
        <v>988036.79999999993</v>
      </c>
      <c r="L23" s="40">
        <f>'Oct 12'!$K23/$K$2</f>
        <v>5.5663689095855227E-3</v>
      </c>
      <c r="M23" s="34"/>
    </row>
    <row r="24" spans="1:15" s="44" customFormat="1" ht="12.75" customHeight="1" x14ac:dyDescent="0.25">
      <c r="A24" s="34" t="s">
        <v>162</v>
      </c>
      <c r="B24" s="34" t="s">
        <v>209</v>
      </c>
      <c r="C24" s="34" t="s">
        <v>210</v>
      </c>
      <c r="D24" s="35">
        <v>5.574E-3</v>
      </c>
      <c r="E24" s="36">
        <f>'Oct 12'!$D24*$C$6*$C$2</f>
        <v>988029.56369574938</v>
      </c>
      <c r="F24" s="36">
        <v>196.94</v>
      </c>
      <c r="G24" s="37">
        <f>'Oct 12'!$E24/'Oct 12'!$F24</f>
        <v>5016.9064877411874</v>
      </c>
      <c r="H24" s="34">
        <v>0</v>
      </c>
      <c r="I24" s="34">
        <f>ROUND(Table1389584567991011121314456267891011121314151617181920213456789[[#This Row],[Target Quantity]],0)</f>
        <v>5017</v>
      </c>
      <c r="J24" s="38">
        <f t="shared" si="0"/>
        <v>5017</v>
      </c>
      <c r="K24" s="39">
        <f>'Oct 12'!$F24*'Oct 12'!$I24</f>
        <v>988047.98</v>
      </c>
      <c r="L24" s="40">
        <f>'Oct 12'!$K24/$K$2</f>
        <v>5.5664318950982179E-3</v>
      </c>
      <c r="M24" s="34"/>
    </row>
    <row r="25" spans="1:15" s="44" customFormat="1" ht="12.75" customHeight="1" x14ac:dyDescent="0.25">
      <c r="A25" s="34" t="s">
        <v>162</v>
      </c>
      <c r="B25" s="34" t="s">
        <v>211</v>
      </c>
      <c r="C25" s="34" t="s">
        <v>212</v>
      </c>
      <c r="D25" s="35">
        <v>1.1147000000000001E-2</v>
      </c>
      <c r="E25" s="36">
        <f>'Oct 12'!$D25*$C$6*$C$2</f>
        <v>1975881.8705627052</v>
      </c>
      <c r="F25" s="36">
        <v>116.59</v>
      </c>
      <c r="G25" s="37">
        <f>'Oct 12'!$E25/'Oct 12'!$F25</f>
        <v>16947.267094628227</v>
      </c>
      <c r="H25" s="34">
        <v>0</v>
      </c>
      <c r="I25" s="34">
        <f>ROUND(Table1389584567991011121314456267891011121314151617181920213456789[[#This Row],[Target Quantity]],0)</f>
        <v>16947</v>
      </c>
      <c r="J25" s="38">
        <f t="shared" si="0"/>
        <v>16947</v>
      </c>
      <c r="K25" s="39">
        <f>'Oct 12'!$F25*'Oct 12'!$I25</f>
        <v>1975850.73</v>
      </c>
      <c r="L25" s="40">
        <f>'Oct 12'!$K25/$K$2</f>
        <v>1.1131482221566909E-2</v>
      </c>
      <c r="M25" s="34"/>
    </row>
    <row r="26" spans="1:15" s="44" customFormat="1" ht="12.75" customHeight="1" x14ac:dyDescent="0.25">
      <c r="A26" s="34"/>
      <c r="B26" s="34"/>
      <c r="C26" s="34"/>
      <c r="D26" s="35"/>
      <c r="E26" s="36"/>
      <c r="F26" s="36"/>
      <c r="G26" s="37"/>
      <c r="H26" s="34"/>
      <c r="I26" s="34"/>
      <c r="J26" s="45"/>
      <c r="K26" s="36"/>
      <c r="L26" s="46"/>
      <c r="M26" s="34"/>
    </row>
    <row r="27" spans="1:15" s="53" customFormat="1" ht="12.75" customHeight="1" x14ac:dyDescent="0.25">
      <c r="A27" s="47" t="s">
        <v>175</v>
      </c>
      <c r="B27" s="47"/>
      <c r="C27" s="47"/>
      <c r="D27" s="48">
        <f>SUM(D9:D26)</f>
        <v>0.156059</v>
      </c>
      <c r="E27" s="49">
        <f>'Oct 12'!$D27*$C$6*$C$2</f>
        <v>27662523.444706667</v>
      </c>
      <c r="F27" s="50"/>
      <c r="G27" s="50"/>
      <c r="H27" s="47"/>
      <c r="I27" s="47"/>
      <c r="J27" s="51"/>
      <c r="K27" s="49">
        <f>SUM(K9:K26)</f>
        <v>27663542.09170121</v>
      </c>
      <c r="L27" s="52">
        <f>'Oct 12'!$K27/$K$2</f>
        <v>0.15584994468652999</v>
      </c>
      <c r="M27" s="47"/>
    </row>
    <row r="28" spans="1:15" s="44" customFormat="1" ht="12.75" customHeight="1" x14ac:dyDescent="0.25">
      <c r="A28" s="34"/>
      <c r="B28" s="34"/>
      <c r="C28" s="34"/>
      <c r="D28" s="35"/>
      <c r="E28" s="36"/>
      <c r="F28" s="36"/>
      <c r="G28" s="37"/>
      <c r="H28" s="34"/>
      <c r="I28" s="34"/>
      <c r="J28" s="45"/>
      <c r="K28" s="36"/>
      <c r="L28" s="40"/>
      <c r="M28" s="34"/>
    </row>
    <row r="29" spans="1:15" s="43" customFormat="1" ht="12.75" customHeight="1" x14ac:dyDescent="0.25">
      <c r="A29" s="54"/>
      <c r="B29" s="47" t="s">
        <v>34</v>
      </c>
      <c r="C29" s="54" t="s">
        <v>35</v>
      </c>
      <c r="D29" s="55">
        <v>2.4385E-2</v>
      </c>
      <c r="E29" s="56">
        <f>'Oct 12'!$D29*$C$6*$C$2</f>
        <v>4322407.7701329114</v>
      </c>
      <c r="F29" s="50">
        <v>18.339998570139102</v>
      </c>
      <c r="G29" s="57">
        <f>'Oct 12'!$E29/'Oct 12'!$F29</f>
        <v>235682.01238415515</v>
      </c>
      <c r="H29" s="54">
        <v>223798</v>
      </c>
      <c r="I29" s="54">
        <f>ROUND(Table1389584567991011121314456267891011121314151617181920213456789[[#This Row],[Target Quantity]],0)</f>
        <v>235682</v>
      </c>
      <c r="J29" s="58">
        <f>I29-H29</f>
        <v>11884</v>
      </c>
      <c r="K29" s="59">
        <f>'Oct 12'!$F29*'Oct 12'!$I29</f>
        <v>4322407.5430075238</v>
      </c>
      <c r="L29" s="52">
        <f>'Oct 12'!$K29/$K$2</f>
        <v>2.4351436061850158E-2</v>
      </c>
      <c r="M29" s="47"/>
      <c r="O29" s="42"/>
    </row>
    <row r="30" spans="1:15" s="43" customFormat="1" ht="12.75" customHeight="1" x14ac:dyDescent="0.25">
      <c r="A30" s="34"/>
      <c r="B30" s="34"/>
      <c r="C30" s="34"/>
      <c r="D30" s="35"/>
      <c r="E30" s="36"/>
      <c r="F30" s="36"/>
      <c r="G30" s="37"/>
      <c r="H30" s="34"/>
      <c r="I30" s="34"/>
      <c r="J30" s="45"/>
      <c r="K30" s="39"/>
      <c r="L30" s="40"/>
      <c r="M30" s="34"/>
      <c r="O30" s="42"/>
    </row>
    <row r="31" spans="1:15" s="2" customFormat="1" ht="25.5" x14ac:dyDescent="0.2">
      <c r="A31" s="34" t="s">
        <v>176</v>
      </c>
      <c r="B31" s="60" t="s">
        <v>109</v>
      </c>
      <c r="C31" s="61" t="s">
        <v>110</v>
      </c>
      <c r="D31" s="35">
        <v>2.4791000000000001E-2</v>
      </c>
      <c r="E31" s="36">
        <f>'Oct 12'!$D31*$C$6*$C$2</f>
        <v>4394374.0426231287</v>
      </c>
      <c r="F31" s="36">
        <v>158546.884615385</v>
      </c>
      <c r="G31" s="37">
        <f>'Oct 12'!$E31/'Oct 12'!$F31</f>
        <v>27.71655875347745</v>
      </c>
      <c r="H31" s="34">
        <v>26</v>
      </c>
      <c r="I31" s="34">
        <v>28</v>
      </c>
      <c r="J31" s="38">
        <f t="shared" ref="J31:J42" si="1">I31-H31</f>
        <v>2</v>
      </c>
      <c r="K31" s="39">
        <f>'Oct 12'!$F31*'Oct 12'!$I31</f>
        <v>4439312.7692307802</v>
      </c>
      <c r="L31" s="40">
        <f>'Oct 12'!$K31/$K$2</f>
        <v>2.50100528427405E-2</v>
      </c>
      <c r="M31" s="62"/>
    </row>
    <row r="32" spans="1:15" s="2" customFormat="1" ht="25.5" x14ac:dyDescent="0.2">
      <c r="A32" s="34" t="s">
        <v>176</v>
      </c>
      <c r="B32" s="60" t="s">
        <v>115</v>
      </c>
      <c r="C32" s="61" t="s">
        <v>116</v>
      </c>
      <c r="D32" s="35">
        <v>2.4791000000000001E-2</v>
      </c>
      <c r="E32" s="36">
        <f>'Oct 12'!$D32*$C$6*$C$2</f>
        <v>4394374.0426231287</v>
      </c>
      <c r="F32" s="36">
        <v>217112.526315789</v>
      </c>
      <c r="G32" s="37">
        <f>'Oct 12'!$E32/'Oct 12'!$F32</f>
        <v>20.240076043477728</v>
      </c>
      <c r="H32" s="34">
        <v>19</v>
      </c>
      <c r="I32" s="34">
        <v>20</v>
      </c>
      <c r="J32" s="38">
        <f t="shared" si="1"/>
        <v>1</v>
      </c>
      <c r="K32" s="39">
        <f>'Oct 12'!$F32*'Oct 12'!$I32</f>
        <v>4342250.5263157804</v>
      </c>
      <c r="L32" s="40">
        <f>'Oct 12'!$K32/$K$2</f>
        <v>2.4463226802195561E-2</v>
      </c>
      <c r="M32" s="62"/>
    </row>
    <row r="33" spans="1:15" s="2" customFormat="1" ht="25.5" x14ac:dyDescent="0.2">
      <c r="A33" s="34" t="s">
        <v>176</v>
      </c>
      <c r="B33" s="60" t="s">
        <v>121</v>
      </c>
      <c r="C33" s="61" t="s">
        <v>122</v>
      </c>
      <c r="D33" s="35">
        <v>2.4791000000000001E-2</v>
      </c>
      <c r="E33" s="36">
        <f>'Oct 12'!$D33*$C$6*$C$2</f>
        <v>4394374.0426231287</v>
      </c>
      <c r="F33" s="36">
        <v>174125</v>
      </c>
      <c r="G33" s="37">
        <f>'Oct 12'!$E33/'Oct 12'!$F33</f>
        <v>25.236893281396288</v>
      </c>
      <c r="H33" s="34">
        <v>24</v>
      </c>
      <c r="I33" s="34">
        <v>25</v>
      </c>
      <c r="J33" s="38">
        <f t="shared" si="1"/>
        <v>1</v>
      </c>
      <c r="K33" s="39">
        <f>'Oct 12'!$F33*'Oct 12'!$I33</f>
        <v>4353125</v>
      </c>
      <c r="L33" s="40">
        <f>'Oct 12'!$K33/$K$2</f>
        <v>2.4524491050879362E-2</v>
      </c>
      <c r="M33" s="62"/>
    </row>
    <row r="34" spans="1:15" s="2" customFormat="1" ht="25.5" x14ac:dyDescent="0.2">
      <c r="A34" s="34" t="s">
        <v>176</v>
      </c>
      <c r="B34" s="60" t="s">
        <v>124</v>
      </c>
      <c r="C34" s="61" t="s">
        <v>125</v>
      </c>
      <c r="D34" s="35">
        <v>2.4791000000000001E-2</v>
      </c>
      <c r="E34" s="36">
        <f>'Oct 12'!$D34*$C$6*$C$2</f>
        <v>4394374.0426231287</v>
      </c>
      <c r="F34" s="36">
        <v>125715.909090909</v>
      </c>
      <c r="G34" s="37">
        <f>'Oct 12'!$E34/'Oct 12'!$F34</f>
        <v>34.954796687230917</v>
      </c>
      <c r="H34" s="34">
        <v>33</v>
      </c>
      <c r="I34" s="34">
        <v>35</v>
      </c>
      <c r="J34" s="38">
        <f t="shared" si="1"/>
        <v>2</v>
      </c>
      <c r="K34" s="39">
        <f>'Oct 12'!$F34*'Oct 12'!$I34</f>
        <v>4400056.8181818146</v>
      </c>
      <c r="L34" s="40">
        <f>'Oct 12'!$K34/$K$2</f>
        <v>2.4788893969472651E-2</v>
      </c>
      <c r="M34" s="62"/>
    </row>
    <row r="35" spans="1:15" s="2" customFormat="1" ht="25.5" x14ac:dyDescent="0.2">
      <c r="A35" s="34" t="s">
        <v>176</v>
      </c>
      <c r="B35" s="60" t="s">
        <v>127</v>
      </c>
      <c r="C35" s="61" t="s">
        <v>128</v>
      </c>
      <c r="D35" s="35">
        <v>2.4791000000000001E-2</v>
      </c>
      <c r="E35" s="36">
        <f>'Oct 12'!$D35*$C$6*$C$2</f>
        <v>4394374.0426231287</v>
      </c>
      <c r="F35" s="36">
        <v>138837.6</v>
      </c>
      <c r="G35" s="37">
        <f>'Oct 12'!$E35/'Oct 12'!$F35</f>
        <v>31.651181255100408</v>
      </c>
      <c r="H35" s="34">
        <v>30</v>
      </c>
      <c r="I35" s="34">
        <v>32</v>
      </c>
      <c r="J35" s="38">
        <f t="shared" si="1"/>
        <v>2</v>
      </c>
      <c r="K35" s="39">
        <f>'Oct 12'!$F35*'Oct 12'!$I35</f>
        <v>4442803.2</v>
      </c>
      <c r="L35" s="40">
        <f>'Oct 12'!$K35/$K$2</f>
        <v>2.5029717115685444E-2</v>
      </c>
      <c r="M35" s="62"/>
    </row>
    <row r="36" spans="1:15" s="2" customFormat="1" ht="25.5" x14ac:dyDescent="0.2">
      <c r="A36" s="34" t="s">
        <v>176</v>
      </c>
      <c r="B36" s="60" t="s">
        <v>135</v>
      </c>
      <c r="C36" s="61" t="s">
        <v>136</v>
      </c>
      <c r="D36" s="35">
        <v>2.4791000000000001E-2</v>
      </c>
      <c r="E36" s="36">
        <f>'Oct 12'!$D36*$C$6*$C$2</f>
        <v>4394374.0426231287</v>
      </c>
      <c r="F36" s="36">
        <v>220823.157894737</v>
      </c>
      <c r="G36" s="37">
        <f>'Oct 12'!$E36/'Oct 12'!$F36</f>
        <v>19.899969208473411</v>
      </c>
      <c r="H36" s="34">
        <v>19</v>
      </c>
      <c r="I36" s="34">
        <v>20</v>
      </c>
      <c r="J36" s="38">
        <f t="shared" si="1"/>
        <v>1</v>
      </c>
      <c r="K36" s="39">
        <f>'Oct 12'!$F36*'Oct 12'!$I36</f>
        <v>4416463.1578947399</v>
      </c>
      <c r="L36" s="40">
        <f>'Oct 12'!$K36/$K$2</f>
        <v>2.4881323461267011E-2</v>
      </c>
      <c r="M36" s="62"/>
    </row>
    <row r="37" spans="1:15" s="43" customFormat="1" ht="25.5" customHeight="1" x14ac:dyDescent="0.25">
      <c r="A37" s="34" t="s">
        <v>177</v>
      </c>
      <c r="B37" s="34" t="s">
        <v>178</v>
      </c>
      <c r="C37" s="34" t="s">
        <v>179</v>
      </c>
      <c r="D37" s="35">
        <v>2.4791000000000001E-2</v>
      </c>
      <c r="E37" s="36">
        <f>'Oct 12'!$D37*$C$6*$C$2</f>
        <v>4394374.0426231287</v>
      </c>
      <c r="F37" s="36">
        <v>97402.279069767406</v>
      </c>
      <c r="G37" s="37">
        <f>'Oct 12'!$E37/'Oct 12'!$F37</f>
        <v>45.11572095223277</v>
      </c>
      <c r="H37" s="34">
        <v>43</v>
      </c>
      <c r="I37" s="34">
        <v>45</v>
      </c>
      <c r="J37" s="38">
        <f t="shared" si="1"/>
        <v>2</v>
      </c>
      <c r="K37" s="39">
        <f>'Oct 12'!$F37*'Oct 12'!$I37</f>
        <v>4383102.5581395337</v>
      </c>
      <c r="L37" s="40">
        <f>'Oct 12'!$K37/$K$2</f>
        <v>2.4693377622324063E-2</v>
      </c>
      <c r="M37" s="41"/>
      <c r="O37" s="42"/>
    </row>
    <row r="38" spans="1:15" s="43" customFormat="1" ht="25.5" customHeight="1" x14ac:dyDescent="0.25">
      <c r="A38" s="34" t="s">
        <v>177</v>
      </c>
      <c r="B38" s="34" t="s">
        <v>76</v>
      </c>
      <c r="C38" s="34" t="s">
        <v>77</v>
      </c>
      <c r="D38" s="35">
        <v>2.4791000000000001E-2</v>
      </c>
      <c r="E38" s="36">
        <f>'Oct 12'!$D38*$C$6*$C$2</f>
        <v>4394374.0426231287</v>
      </c>
      <c r="F38" s="36">
        <v>115160.38888888901</v>
      </c>
      <c r="G38" s="37">
        <f>'Oct 12'!$E38/'Oct 12'!$F38</f>
        <v>38.158728752322844</v>
      </c>
      <c r="H38" s="34">
        <v>36</v>
      </c>
      <c r="I38" s="34">
        <v>38</v>
      </c>
      <c r="J38" s="38">
        <f t="shared" si="1"/>
        <v>2</v>
      </c>
      <c r="K38" s="39">
        <f>'Oct 12'!$F38*'Oct 12'!$I38</f>
        <v>4376094.7777777826</v>
      </c>
      <c r="L38" s="40">
        <f>'Oct 12'!$K38/$K$2</f>
        <v>2.4653897422061425E-2</v>
      </c>
      <c r="M38" s="41"/>
    </row>
    <row r="39" spans="1:15" s="43" customFormat="1" ht="25.5" customHeight="1" x14ac:dyDescent="0.25">
      <c r="A39" s="34" t="s">
        <v>177</v>
      </c>
      <c r="B39" s="34" t="s">
        <v>180</v>
      </c>
      <c r="C39" s="34" t="s">
        <v>181</v>
      </c>
      <c r="D39" s="35">
        <v>2.4791000000000001E-2</v>
      </c>
      <c r="E39" s="36">
        <f>'Oct 12'!$D39*$C$6*$C$2</f>
        <v>4394374.0426231287</v>
      </c>
      <c r="F39" s="36">
        <v>114797.38888888901</v>
      </c>
      <c r="G39" s="37">
        <f>'Oct 12'!$E39/'Oct 12'!$F39</f>
        <v>38.279390194810006</v>
      </c>
      <c r="H39" s="34">
        <v>36</v>
      </c>
      <c r="I39" s="34">
        <v>38</v>
      </c>
      <c r="J39" s="38">
        <f t="shared" si="1"/>
        <v>2</v>
      </c>
      <c r="K39" s="39">
        <f>'Oct 12'!$F39*'Oct 12'!$I39</f>
        <v>4362300.7777777826</v>
      </c>
      <c r="L39" s="40">
        <f>'Oct 12'!$K39/$K$2</f>
        <v>2.4576185242981836E-2</v>
      </c>
      <c r="M39" s="41"/>
    </row>
    <row r="40" spans="1:15" s="43" customFormat="1" ht="25.5" x14ac:dyDescent="0.25">
      <c r="A40" s="34" t="s">
        <v>177</v>
      </c>
      <c r="B40" s="34" t="s">
        <v>71</v>
      </c>
      <c r="C40" s="34" t="s">
        <v>72</v>
      </c>
      <c r="D40" s="35">
        <v>2.4791000000000001E-2</v>
      </c>
      <c r="E40" s="36">
        <f>'Oct 12'!$D40*$C$6*$C$2</f>
        <v>4394374.0426231287</v>
      </c>
      <c r="F40" s="36">
        <v>134101.25806451601</v>
      </c>
      <c r="G40" s="37">
        <f>'Oct 12'!$E40/'Oct 12'!$F40</f>
        <v>32.769073952378577</v>
      </c>
      <c r="H40" s="34">
        <v>31</v>
      </c>
      <c r="I40" s="34">
        <v>33</v>
      </c>
      <c r="J40" s="38">
        <f t="shared" si="1"/>
        <v>2</v>
      </c>
      <c r="K40" s="39">
        <f>'Oct 12'!$F40*'Oct 12'!$I40</f>
        <v>4425341.5161290281</v>
      </c>
      <c r="L40" s="40">
        <f>'Oct 12'!$K40/$K$2</f>
        <v>2.4931342061023116E-2</v>
      </c>
      <c r="M40" s="41"/>
    </row>
    <row r="41" spans="1:15" s="43" customFormat="1" ht="25.5" x14ac:dyDescent="0.25">
      <c r="A41" s="34" t="s">
        <v>177</v>
      </c>
      <c r="B41" s="34" t="s">
        <v>67</v>
      </c>
      <c r="C41" s="34" t="s">
        <v>68</v>
      </c>
      <c r="D41" s="35">
        <v>2.4791000000000001E-2</v>
      </c>
      <c r="E41" s="36">
        <f>'Oct 12'!$D41*$C$6*$C$2</f>
        <v>4394374.0426231287</v>
      </c>
      <c r="F41" s="36">
        <v>176517.75</v>
      </c>
      <c r="G41" s="37">
        <f>'Oct 12'!$E41/'Oct 12'!$F41</f>
        <v>24.894799772958407</v>
      </c>
      <c r="H41" s="34">
        <v>24</v>
      </c>
      <c r="I41" s="34">
        <v>25</v>
      </c>
      <c r="J41" s="38">
        <f t="shared" si="1"/>
        <v>1</v>
      </c>
      <c r="K41" s="39">
        <f>'Oct 12'!$F41*'Oct 12'!$I41</f>
        <v>4412943.75</v>
      </c>
      <c r="L41" s="40">
        <f>'Oct 12'!$K41/$K$2</f>
        <v>2.486149593795469E-2</v>
      </c>
      <c r="M41" s="41"/>
    </row>
    <row r="42" spans="1:15" s="43" customFormat="1" ht="25.5" x14ac:dyDescent="0.25">
      <c r="A42" s="34" t="s">
        <v>177</v>
      </c>
      <c r="B42" s="34" t="s">
        <v>80</v>
      </c>
      <c r="C42" s="34" t="s">
        <v>81</v>
      </c>
      <c r="D42" s="35">
        <v>2.4791000000000001E-2</v>
      </c>
      <c r="E42" s="36">
        <f>'Oct 12'!$D42*$C$6*$C$2</f>
        <v>4394374.0426231287</v>
      </c>
      <c r="F42" s="36">
        <v>263852.6875</v>
      </c>
      <c r="G42" s="37">
        <f>'Oct 12'!$E42/'Oct 12'!$F42</f>
        <v>16.654649548048013</v>
      </c>
      <c r="H42" s="34">
        <v>16</v>
      </c>
      <c r="I42" s="34">
        <v>17</v>
      </c>
      <c r="J42" s="38">
        <f t="shared" si="1"/>
        <v>1</v>
      </c>
      <c r="K42" s="39">
        <f>'Oct 12'!$F42*'Oct 12'!$I42</f>
        <v>4485495.6875</v>
      </c>
      <c r="L42" s="40">
        <f>'Oct 12'!$K42/$K$2</f>
        <v>2.5270236633878354E-2</v>
      </c>
      <c r="M42" s="41"/>
    </row>
    <row r="43" spans="1:15" s="64" customFormat="1" ht="12.75" x14ac:dyDescent="0.2">
      <c r="A43" s="34"/>
      <c r="B43" s="61"/>
      <c r="C43" s="61"/>
      <c r="D43" s="35"/>
      <c r="E43" s="63"/>
      <c r="F43" s="36"/>
      <c r="G43" s="37"/>
      <c r="H43" s="34"/>
      <c r="I43" s="34"/>
      <c r="J43" s="45"/>
      <c r="K43" s="36"/>
      <c r="L43" s="46"/>
      <c r="M43" s="62"/>
    </row>
    <row r="44" spans="1:15" s="15" customFormat="1" ht="12.75" x14ac:dyDescent="0.2">
      <c r="A44" s="47" t="s">
        <v>182</v>
      </c>
      <c r="B44" s="65"/>
      <c r="C44" s="65"/>
      <c r="D44" s="55">
        <f>SUBTOTAL(9,D31:D43)</f>
        <v>0.29749200000000003</v>
      </c>
      <c r="E44" s="66">
        <f>'Oct 12'!$D44*$C$6*$C$2</f>
        <v>52732488.51147756</v>
      </c>
      <c r="F44" s="67"/>
      <c r="G44" s="68"/>
      <c r="H44" s="54"/>
      <c r="I44" s="54"/>
      <c r="J44" s="58"/>
      <c r="K44" s="66">
        <f>SUM(K31:K43)</f>
        <v>52839290.53894724</v>
      </c>
      <c r="L44" s="69">
        <f>'Oct 12'!$K44/$K$2</f>
        <v>0.29768424016246398</v>
      </c>
      <c r="M44" s="70"/>
    </row>
    <row r="45" spans="1:15" s="64" customFormat="1" ht="12.75" x14ac:dyDescent="0.2">
      <c r="A45" s="34"/>
      <c r="B45" s="61"/>
      <c r="C45" s="61"/>
      <c r="D45" s="35"/>
      <c r="E45" s="63"/>
      <c r="F45" s="36"/>
      <c r="G45" s="37"/>
      <c r="H45" s="34"/>
      <c r="I45" s="34"/>
      <c r="J45" s="45"/>
      <c r="K45" s="36"/>
      <c r="L45" s="40"/>
      <c r="M45" s="62"/>
    </row>
    <row r="46" spans="1:15" s="2" customFormat="1" ht="24.75" customHeight="1" x14ac:dyDescent="0.2">
      <c r="A46" s="34" t="s">
        <v>176</v>
      </c>
      <c r="B46" s="61" t="s">
        <v>183</v>
      </c>
      <c r="C46" s="61" t="s">
        <v>131</v>
      </c>
      <c r="D46" s="35">
        <v>7.1429000000000006E-2</v>
      </c>
      <c r="E46" s="36">
        <f>'Oct 12'!$D46*$C$6*$C$2</f>
        <v>12661278.023900911</v>
      </c>
      <c r="F46" s="36">
        <v>416332.896551724</v>
      </c>
      <c r="G46" s="37">
        <f>'Oct 12'!$E46/'Oct 12'!$F46</f>
        <v>30.411428279552034</v>
      </c>
      <c r="H46" s="34">
        <v>29</v>
      </c>
      <c r="I46" s="34">
        <v>30</v>
      </c>
      <c r="J46" s="38">
        <f t="shared" ref="J46:J52" si="2">I46-H46</f>
        <v>1</v>
      </c>
      <c r="K46" s="39">
        <f>'Oct 12'!$F46*'Oct 12'!$I46</f>
        <v>12489986.896551721</v>
      </c>
      <c r="L46" s="40">
        <f>'Oct 12'!$K46/$K$2</f>
        <v>7.0365673365704678E-2</v>
      </c>
      <c r="M46" s="62"/>
    </row>
    <row r="47" spans="1:15" s="43" customFormat="1" ht="25.5" x14ac:dyDescent="0.25">
      <c r="A47" s="34" t="s">
        <v>177</v>
      </c>
      <c r="B47" s="34" t="s">
        <v>82</v>
      </c>
      <c r="C47" s="34" t="s">
        <v>83</v>
      </c>
      <c r="D47" s="35">
        <v>7.1429000000000006E-2</v>
      </c>
      <c r="E47" s="36">
        <f>'Oct 12'!$D47*$C$6*$C$2</f>
        <v>12661278.023900911</v>
      </c>
      <c r="F47" s="36">
        <v>249397.25</v>
      </c>
      <c r="G47" s="37">
        <f>'Oct 12'!$E47/'Oct 12'!$F47</f>
        <v>50.767512568406069</v>
      </c>
      <c r="H47" s="34">
        <v>48</v>
      </c>
      <c r="I47" s="34">
        <v>51</v>
      </c>
      <c r="J47" s="38">
        <f t="shared" si="2"/>
        <v>3</v>
      </c>
      <c r="K47" s="39">
        <f>'Oct 12'!$F47*'Oct 12'!$I47</f>
        <v>12719259.75</v>
      </c>
      <c r="L47" s="40">
        <f>'Oct 12'!$K47/$K$2</f>
        <v>7.1657343152949901E-2</v>
      </c>
      <c r="M47" s="41"/>
    </row>
    <row r="48" spans="1:15" s="43" customFormat="1" ht="25.5" x14ac:dyDescent="0.25">
      <c r="A48" s="34" t="s">
        <v>177</v>
      </c>
      <c r="B48" s="34" t="s">
        <v>184</v>
      </c>
      <c r="C48" s="34" t="s">
        <v>105</v>
      </c>
      <c r="D48" s="35">
        <v>7.1429000000000006E-2</v>
      </c>
      <c r="E48" s="36">
        <f>'Oct 12'!$D48*$C$6*$C$2</f>
        <v>12661278.023900911</v>
      </c>
      <c r="F48" s="36">
        <v>416357.689655172</v>
      </c>
      <c r="G48" s="37">
        <f>'Oct 12'!$E48/'Oct 12'!$F48</f>
        <v>30.409617351818333</v>
      </c>
      <c r="H48" s="34">
        <v>29</v>
      </c>
      <c r="I48" s="34">
        <v>30</v>
      </c>
      <c r="J48" s="38">
        <f t="shared" si="2"/>
        <v>1</v>
      </c>
      <c r="K48" s="39">
        <f>'Oct 12'!$F48*'Oct 12'!$I48</f>
        <v>12490730.689655161</v>
      </c>
      <c r="L48" s="40">
        <f>'Oct 12'!$K48/$K$2</f>
        <v>7.0369863722588299E-2</v>
      </c>
      <c r="M48" s="41"/>
    </row>
    <row r="49" spans="1:16" s="43" customFormat="1" ht="25.5" x14ac:dyDescent="0.25">
      <c r="A49" s="34" t="s">
        <v>177</v>
      </c>
      <c r="B49" s="34" t="s">
        <v>107</v>
      </c>
      <c r="C49" s="34" t="s">
        <v>108</v>
      </c>
      <c r="D49" s="35">
        <v>7.1429000000000006E-2</v>
      </c>
      <c r="E49" s="36">
        <f>'Oct 12'!$D49*$C$6*$C$2</f>
        <v>12661278.023900911</v>
      </c>
      <c r="F49" s="36">
        <v>249815.9375</v>
      </c>
      <c r="G49" s="37">
        <f>'Oct 12'!$E49/'Oct 12'!$F49</f>
        <v>50.682427032506325</v>
      </c>
      <c r="H49" s="34">
        <v>48</v>
      </c>
      <c r="I49" s="34">
        <v>51</v>
      </c>
      <c r="J49" s="38">
        <f t="shared" si="2"/>
        <v>3</v>
      </c>
      <c r="K49" s="39">
        <f>'Oct 12'!$F49*'Oct 12'!$I49</f>
        <v>12740612.8125</v>
      </c>
      <c r="L49" s="40">
        <f>'Oct 12'!$K49/$K$2</f>
        <v>7.1777641327293654E-2</v>
      </c>
      <c r="M49" s="41"/>
    </row>
    <row r="50" spans="1:16" s="43" customFormat="1" ht="25.5" x14ac:dyDescent="0.25">
      <c r="A50" s="34" t="s">
        <v>177</v>
      </c>
      <c r="B50" s="34" t="s">
        <v>185</v>
      </c>
      <c r="C50" s="34" t="s">
        <v>86</v>
      </c>
      <c r="D50" s="35">
        <v>7.1429000000000006E-2</v>
      </c>
      <c r="E50" s="36">
        <f>'Oct 12'!$D50*$C$6*$C$2</f>
        <v>12661278.023900911</v>
      </c>
      <c r="F50" s="36">
        <v>162613.5</v>
      </c>
      <c r="G50" s="37">
        <f>'Oct 12'!$E50/'Oct 12'!$F50</f>
        <v>77.861174034756715</v>
      </c>
      <c r="H50" s="34">
        <v>74</v>
      </c>
      <c r="I50" s="34">
        <v>78</v>
      </c>
      <c r="J50" s="38">
        <f t="shared" si="2"/>
        <v>4</v>
      </c>
      <c r="K50" s="39">
        <f>'Oct 12'!$F50*'Oct 12'!$I50</f>
        <v>12683853</v>
      </c>
      <c r="L50" s="40">
        <f>'Oct 12'!$K50/$K$2</f>
        <v>7.1457869780713709E-2</v>
      </c>
      <c r="M50" s="41"/>
    </row>
    <row r="51" spans="1:16" s="43" customFormat="1" ht="25.5" x14ac:dyDescent="0.25">
      <c r="A51" s="34" t="s">
        <v>177</v>
      </c>
      <c r="B51" s="34" t="s">
        <v>186</v>
      </c>
      <c r="C51" s="34" t="s">
        <v>187</v>
      </c>
      <c r="D51" s="35">
        <v>7.1429000000000006E-2</v>
      </c>
      <c r="E51" s="36">
        <f>'Oct 12'!$D51*$C$6*$C$2</f>
        <v>12661278.023900911</v>
      </c>
      <c r="F51" s="36">
        <v>177790.32352941201</v>
      </c>
      <c r="G51" s="37">
        <f>'Oct 12'!$E51/'Oct 12'!$F51</f>
        <v>71.214663276127879</v>
      </c>
      <c r="H51" s="34">
        <v>68</v>
      </c>
      <c r="I51" s="34">
        <v>71</v>
      </c>
      <c r="J51" s="38">
        <f t="shared" si="2"/>
        <v>3</v>
      </c>
      <c r="K51" s="39">
        <f>'Oct 12'!$F51*'Oct 12'!$I51</f>
        <v>12623112.970588252</v>
      </c>
      <c r="L51" s="40">
        <f>'Oct 12'!$K51/$K$2</f>
        <v>7.1115674620285604E-2</v>
      </c>
      <c r="M51" s="41"/>
    </row>
    <row r="52" spans="1:16" s="43" customFormat="1" ht="25.5" x14ac:dyDescent="0.25">
      <c r="A52" s="34" t="s">
        <v>177</v>
      </c>
      <c r="B52" s="34" t="s">
        <v>188</v>
      </c>
      <c r="C52" s="34" t="s">
        <v>189</v>
      </c>
      <c r="D52" s="35">
        <v>7.1429000000000006E-2</v>
      </c>
      <c r="E52" s="36">
        <f>'Oct 12'!$D52*$C$6*$C$2</f>
        <v>12661278.023900911</v>
      </c>
      <c r="F52" s="36">
        <v>721751.52941176505</v>
      </c>
      <c r="G52" s="37">
        <f>'Oct 12'!$E52/'Oct 12'!$F52</f>
        <v>17.542433244609796</v>
      </c>
      <c r="H52" s="34">
        <v>17</v>
      </c>
      <c r="I52" s="34">
        <v>18</v>
      </c>
      <c r="J52" s="38">
        <f t="shared" si="2"/>
        <v>1</v>
      </c>
      <c r="K52" s="39">
        <f>'Oct 12'!$F52*'Oct 12'!$I52</f>
        <v>12991527.52941177</v>
      </c>
      <c r="L52" s="40">
        <f>'Oct 12'!$K52/$K$2</f>
        <v>7.3191236326159217E-2</v>
      </c>
      <c r="M52" s="41"/>
    </row>
    <row r="53" spans="1:16" s="44" customFormat="1" ht="12.75" x14ac:dyDescent="0.25">
      <c r="A53" s="34"/>
      <c r="B53" s="34"/>
      <c r="C53" s="34"/>
      <c r="D53" s="35"/>
      <c r="E53" s="36"/>
      <c r="F53" s="36"/>
      <c r="G53" s="37"/>
      <c r="H53" s="34"/>
      <c r="I53" s="34"/>
      <c r="J53" s="45"/>
      <c r="K53" s="36"/>
      <c r="L53" s="40"/>
      <c r="M53" s="34"/>
    </row>
    <row r="54" spans="1:16" s="53" customFormat="1" ht="25.5" x14ac:dyDescent="0.25">
      <c r="A54" s="47" t="s">
        <v>190</v>
      </c>
      <c r="B54" s="47"/>
      <c r="C54" s="47"/>
      <c r="D54" s="55">
        <f>SUBTOTAL(9,D46:D53)</f>
        <v>0.50000300000000009</v>
      </c>
      <c r="E54" s="49">
        <f>'Oct 12'!$D54*$C$6*$C$2</f>
        <v>88628946.167306393</v>
      </c>
      <c r="F54" s="68"/>
      <c r="G54" s="68"/>
      <c r="H54" s="54"/>
      <c r="I54" s="54"/>
      <c r="J54" s="58"/>
      <c r="K54" s="49">
        <f>SUM(K46:K53)</f>
        <v>88739083.648706913</v>
      </c>
      <c r="L54" s="71">
        <f>'Oct 12'!$K54/$K$2</f>
        <v>0.49993530229569511</v>
      </c>
      <c r="M54" s="47"/>
    </row>
    <row r="55" spans="1:16" s="44" customFormat="1" ht="12.75" x14ac:dyDescent="0.25">
      <c r="A55" s="34"/>
      <c r="B55" s="34"/>
      <c r="C55" s="34"/>
      <c r="D55" s="35"/>
      <c r="E55" s="36"/>
      <c r="F55" s="36"/>
      <c r="G55" s="37"/>
      <c r="H55" s="34"/>
      <c r="I55" s="34"/>
      <c r="J55" s="45"/>
      <c r="K55" s="36"/>
      <c r="L55" s="40"/>
      <c r="M55" s="34"/>
    </row>
    <row r="56" spans="1:16" s="43" customFormat="1" ht="12.75" x14ac:dyDescent="0.25">
      <c r="A56" s="34"/>
      <c r="B56" s="34"/>
      <c r="C56" s="34"/>
      <c r="D56" s="35"/>
      <c r="E56" s="36"/>
      <c r="F56" s="36"/>
      <c r="G56" s="72"/>
      <c r="H56" s="34"/>
      <c r="I56" s="34"/>
      <c r="J56" s="38"/>
      <c r="K56" s="39"/>
      <c r="L56" s="40"/>
      <c r="M56" s="41"/>
    </row>
    <row r="57" spans="1:16" s="43" customFormat="1" ht="25.5" x14ac:dyDescent="0.25">
      <c r="A57" s="34" t="s">
        <v>191</v>
      </c>
      <c r="B57" s="34" t="s">
        <v>192</v>
      </c>
      <c r="C57" s="34" t="s">
        <v>64</v>
      </c>
      <c r="D57" s="35">
        <v>9.7499999999999996E-4</v>
      </c>
      <c r="E57" s="36">
        <f>'Oct 12'!$D57*$C$6*$C$2</f>
        <v>172825.40807379902</v>
      </c>
      <c r="F57" s="36">
        <v>45916.666666666701</v>
      </c>
      <c r="G57" s="72">
        <f>'Oct 12'!$E57/'Oct 12'!$F57</f>
        <v>3.7638927348195765</v>
      </c>
      <c r="H57" s="34">
        <v>3</v>
      </c>
      <c r="I57" s="34">
        <v>3</v>
      </c>
      <c r="J57" s="38">
        <f t="shared" ref="J57:J66" si="3">I57-H57</f>
        <v>0</v>
      </c>
      <c r="K57" s="39">
        <f>'Oct 12'!$F57*'Oct 12'!$I57</f>
        <v>137750.00000000012</v>
      </c>
      <c r="L57" s="40">
        <f>'Oct 12'!$K57/$K$2</f>
        <v>7.7605137510607547E-4</v>
      </c>
      <c r="M57" s="41"/>
    </row>
    <row r="58" spans="1:16" s="43" customFormat="1" ht="25.5" x14ac:dyDescent="0.25">
      <c r="A58" s="34" t="s">
        <v>191</v>
      </c>
      <c r="B58" s="34" t="s">
        <v>193</v>
      </c>
      <c r="C58" s="34" t="s">
        <v>74</v>
      </c>
      <c r="D58" s="35">
        <v>9.7499999999999996E-4</v>
      </c>
      <c r="E58" s="36">
        <f>'Oct 12'!$D58*$C$6*$C$2</f>
        <v>172825.40807379902</v>
      </c>
      <c r="F58" s="36">
        <v>169376</v>
      </c>
      <c r="G58" s="72">
        <f>'Oct 12'!$E58/'Oct 12'!$F58</f>
        <v>1.0203653886843413</v>
      </c>
      <c r="H58" s="34">
        <v>1</v>
      </c>
      <c r="I58" s="34">
        <v>1</v>
      </c>
      <c r="J58" s="38">
        <f t="shared" si="3"/>
        <v>0</v>
      </c>
      <c r="K58" s="39">
        <f>'Oct 12'!$F58*'Oct 12'!$I58</f>
        <v>169376</v>
      </c>
      <c r="L58" s="40">
        <f>'Oct 12'!$K58/$K$2</f>
        <v>9.542248835569258E-4</v>
      </c>
      <c r="M58" s="41"/>
      <c r="P58" s="43" t="s">
        <v>194</v>
      </c>
    </row>
    <row r="59" spans="1:16" s="43" customFormat="1" ht="25.5" x14ac:dyDescent="0.25">
      <c r="A59" s="34" t="s">
        <v>191</v>
      </c>
      <c r="B59" s="34" t="s">
        <v>195</v>
      </c>
      <c r="C59" s="34" t="s">
        <v>93</v>
      </c>
      <c r="D59" s="35">
        <v>9.7499999999999996E-4</v>
      </c>
      <c r="E59" s="36">
        <f>'Oct 12'!$D59*$C$6*$C$2</f>
        <v>172825.40807379902</v>
      </c>
      <c r="F59" s="36">
        <v>91446</v>
      </c>
      <c r="G59" s="72">
        <f>'Oct 12'!$E59/'Oct 12'!$F59</f>
        <v>1.8899176352579556</v>
      </c>
      <c r="H59" s="34">
        <v>2</v>
      </c>
      <c r="I59" s="34">
        <v>2</v>
      </c>
      <c r="J59" s="38">
        <f t="shared" si="3"/>
        <v>0</v>
      </c>
      <c r="K59" s="39">
        <f>'Oct 12'!$F59*'Oct 12'!$I59</f>
        <v>182892</v>
      </c>
      <c r="L59" s="40">
        <f>'Oct 12'!$K59/$K$2</f>
        <v>1.0303708754693301E-3</v>
      </c>
      <c r="M59" s="41"/>
    </row>
    <row r="60" spans="1:16" s="43" customFormat="1" ht="25.5" x14ac:dyDescent="0.25">
      <c r="A60" s="34" t="s">
        <v>191</v>
      </c>
      <c r="B60" s="34" t="s">
        <v>94</v>
      </c>
      <c r="C60" s="34" t="s">
        <v>95</v>
      </c>
      <c r="D60" s="35">
        <v>9.7499999999999996E-4</v>
      </c>
      <c r="E60" s="36">
        <f>'Oct 12'!$D60*$C$6*$C$2</f>
        <v>172825.40807379902</v>
      </c>
      <c r="F60" s="36">
        <v>245323</v>
      </c>
      <c r="G60" s="72">
        <f>'Oct 12'!$E60/'Oct 12'!$F60</f>
        <v>0.7044810640412803</v>
      </c>
      <c r="H60" s="34">
        <v>1</v>
      </c>
      <c r="I60" s="34">
        <v>1</v>
      </c>
      <c r="J60" s="38">
        <f t="shared" si="3"/>
        <v>0</v>
      </c>
      <c r="K60" s="39">
        <f>'Oct 12'!$F60*'Oct 12'!$I60</f>
        <v>245323</v>
      </c>
      <c r="L60" s="40">
        <f>'Oct 12'!$K60/$K$2</f>
        <v>1.382092569837732E-3</v>
      </c>
      <c r="M60" s="41"/>
    </row>
    <row r="61" spans="1:16" s="43" customFormat="1" ht="25.5" x14ac:dyDescent="0.25">
      <c r="A61" s="34" t="s">
        <v>191</v>
      </c>
      <c r="B61" s="34" t="s">
        <v>196</v>
      </c>
      <c r="C61" s="34" t="s">
        <v>197</v>
      </c>
      <c r="D61" s="35">
        <v>9.7499999999999996E-4</v>
      </c>
      <c r="E61" s="36">
        <f>'Oct 12'!$D61*$C$6*$C$2</f>
        <v>172825.40807379902</v>
      </c>
      <c r="F61" s="36">
        <v>45254.666666666701</v>
      </c>
      <c r="G61" s="72">
        <f>'Oct 12'!$E61/'Oct 12'!$F61</f>
        <v>3.8189521833578612</v>
      </c>
      <c r="H61" s="34">
        <v>3</v>
      </c>
      <c r="I61" s="34">
        <v>4</v>
      </c>
      <c r="J61" s="38">
        <f t="shared" si="3"/>
        <v>1</v>
      </c>
      <c r="K61" s="39">
        <f>'Oct 12'!$F61*'Oct 12'!$I61</f>
        <v>181018.6666666668</v>
      </c>
      <c r="L61" s="40">
        <f>'Oct 12'!$K61/$K$2</f>
        <v>1.0198169523523409E-3</v>
      </c>
      <c r="M61" s="41"/>
    </row>
    <row r="62" spans="1:16" s="43" customFormat="1" ht="25.5" x14ac:dyDescent="0.25">
      <c r="A62" s="34" t="s">
        <v>191</v>
      </c>
      <c r="B62" s="34" t="s">
        <v>198</v>
      </c>
      <c r="C62" s="34" t="s">
        <v>199</v>
      </c>
      <c r="D62" s="35">
        <v>9.7499999999999996E-4</v>
      </c>
      <c r="E62" s="36">
        <f>'Oct 12'!$D62*$C$6*$C$2</f>
        <v>172825.40807379902</v>
      </c>
      <c r="F62" s="36">
        <v>44419.666666666701</v>
      </c>
      <c r="G62" s="72">
        <f>'Oct 12'!$E62/'Oct 12'!$F62</f>
        <v>3.8907407696395491</v>
      </c>
      <c r="H62" s="34">
        <v>3</v>
      </c>
      <c r="I62" s="34">
        <v>4</v>
      </c>
      <c r="J62" s="38">
        <f t="shared" si="3"/>
        <v>1</v>
      </c>
      <c r="K62" s="39">
        <f>'Oct 12'!$F62*'Oct 12'!$I62</f>
        <v>177678.6666666668</v>
      </c>
      <c r="L62" s="40">
        <f>'Oct 12'!$K62/$K$2</f>
        <v>1.0010001712789885E-3</v>
      </c>
      <c r="M62" s="41"/>
    </row>
    <row r="63" spans="1:16" s="43" customFormat="1" ht="25.5" x14ac:dyDescent="0.25">
      <c r="A63" s="34" t="s">
        <v>191</v>
      </c>
      <c r="B63" s="34" t="s">
        <v>200</v>
      </c>
      <c r="C63" s="34" t="s">
        <v>99</v>
      </c>
      <c r="D63" s="35">
        <v>9.7499999999999996E-4</v>
      </c>
      <c r="E63" s="36">
        <f>'Oct 12'!$D63*$C$6*$C$2</f>
        <v>172825.40807379902</v>
      </c>
      <c r="F63" s="36">
        <v>12314.2307692308</v>
      </c>
      <c r="G63" s="72">
        <f>'Oct 12'!$E63/'Oct 12'!$F63</f>
        <v>14.034608520219768</v>
      </c>
      <c r="H63" s="34">
        <v>13</v>
      </c>
      <c r="I63" s="34">
        <v>14</v>
      </c>
      <c r="J63" s="38">
        <f t="shared" si="3"/>
        <v>1</v>
      </c>
      <c r="K63" s="39">
        <f>'Oct 12'!$F63*'Oct 12'!$I63</f>
        <v>172399.23076923122</v>
      </c>
      <c r="L63" s="40">
        <f>'Oct 12'!$K63/$K$2</f>
        <v>9.7125706065837687E-4</v>
      </c>
      <c r="M63" s="41"/>
    </row>
    <row r="64" spans="1:16" s="43" customFormat="1" ht="25.5" x14ac:dyDescent="0.25">
      <c r="A64" s="34" t="s">
        <v>191</v>
      </c>
      <c r="B64" s="34" t="s">
        <v>201</v>
      </c>
      <c r="C64" s="34" t="s">
        <v>102</v>
      </c>
      <c r="D64" s="35">
        <v>9.7499999999999996E-4</v>
      </c>
      <c r="E64" s="36">
        <f>'Oct 12'!$D64*$C$6*$C$2</f>
        <v>172825.40807379902</v>
      </c>
      <c r="F64" s="36">
        <v>91211</v>
      </c>
      <c r="G64" s="72">
        <f>'Oct 12'!$E64/'Oct 12'!$F64</f>
        <v>1.8947869015118683</v>
      </c>
      <c r="H64" s="34">
        <v>2</v>
      </c>
      <c r="I64" s="34">
        <v>2</v>
      </c>
      <c r="J64" s="38">
        <f t="shared" si="3"/>
        <v>0</v>
      </c>
      <c r="K64" s="39">
        <f>'Oct 12'!$F64*'Oct 12'!$I64</f>
        <v>182422</v>
      </c>
      <c r="L64" s="40">
        <f>'Oct 12'!$K64/$K$2</f>
        <v>1.0277230050787687E-3</v>
      </c>
      <c r="M64" s="41"/>
    </row>
    <row r="65" spans="1:13" s="2" customFormat="1" ht="25.5" x14ac:dyDescent="0.2">
      <c r="A65" s="34" t="s">
        <v>191</v>
      </c>
      <c r="B65" s="61" t="s">
        <v>202</v>
      </c>
      <c r="C65" s="61" t="s">
        <v>133</v>
      </c>
      <c r="D65" s="35">
        <v>9.7499999999999996E-4</v>
      </c>
      <c r="E65" s="36">
        <f>'Oct 12'!$D65*$C$6*$C$2</f>
        <v>172825.40807379902</v>
      </c>
      <c r="F65" s="36">
        <v>61116.666666666701</v>
      </c>
      <c r="G65" s="72">
        <f>'Oct 12'!$E65/'Oct 12'!$F65</f>
        <v>2.8277950598385426</v>
      </c>
      <c r="H65" s="34">
        <v>3</v>
      </c>
      <c r="I65" s="34">
        <v>3</v>
      </c>
      <c r="J65" s="38">
        <f t="shared" si="3"/>
        <v>0</v>
      </c>
      <c r="K65" s="39">
        <f>'Oct 12'!$F65*'Oct 12'!$I65</f>
        <v>183350.00000000012</v>
      </c>
      <c r="L65" s="40">
        <f>'Oct 12'!$K65/$K$2</f>
        <v>1.0329511406584314E-3</v>
      </c>
      <c r="M65" s="62"/>
    </row>
    <row r="66" spans="1:13" s="43" customFormat="1" ht="25.5" x14ac:dyDescent="0.25">
      <c r="A66" s="34" t="s">
        <v>191</v>
      </c>
      <c r="B66" s="34" t="s">
        <v>203</v>
      </c>
      <c r="C66" s="34" t="s">
        <v>204</v>
      </c>
      <c r="D66" s="35">
        <v>9.7499999999999996E-4</v>
      </c>
      <c r="E66" s="36">
        <f>'Oct 12'!$D66*$C$6*$C$2</f>
        <v>172825.40807379902</v>
      </c>
      <c r="F66" s="36">
        <v>126130</v>
      </c>
      <c r="G66" s="72">
        <f>'Oct 12'!$E66/'Oct 12'!$F66</f>
        <v>1.3702165073638231</v>
      </c>
      <c r="H66" s="34">
        <v>1</v>
      </c>
      <c r="I66" s="34">
        <v>1</v>
      </c>
      <c r="J66" s="38">
        <f t="shared" si="3"/>
        <v>0</v>
      </c>
      <c r="K66" s="39">
        <f>'Oct 12'!$F66*'Oct 12'!$I66</f>
        <v>126130</v>
      </c>
      <c r="L66" s="40">
        <f>'Oct 12'!$K66/$K$2</f>
        <v>7.1058700502453151E-4</v>
      </c>
      <c r="M66" s="41"/>
    </row>
    <row r="67" spans="1:13" s="43" customFormat="1" ht="12.75" x14ac:dyDescent="0.25">
      <c r="A67" s="34"/>
      <c r="B67" s="34"/>
      <c r="C67" s="34"/>
      <c r="D67" s="35"/>
      <c r="E67" s="36"/>
      <c r="F67" s="36"/>
      <c r="G67" s="37"/>
      <c r="H67" s="34"/>
      <c r="I67" s="34"/>
      <c r="J67" s="41"/>
      <c r="K67" s="39"/>
      <c r="L67" s="40"/>
      <c r="M67" s="41"/>
    </row>
    <row r="68" spans="1:13" s="43" customFormat="1" ht="12.75" x14ac:dyDescent="0.25">
      <c r="A68" s="34"/>
      <c r="B68" s="34"/>
      <c r="C68" s="34"/>
      <c r="D68" s="35"/>
      <c r="E68" s="36"/>
      <c r="F68" s="36"/>
      <c r="G68" s="37"/>
      <c r="H68" s="34"/>
      <c r="I68" s="34"/>
      <c r="J68" s="41"/>
      <c r="K68" s="39"/>
      <c r="L68" s="40"/>
      <c r="M68" s="41"/>
    </row>
    <row r="69" spans="1:13" s="43" customFormat="1" ht="12.75" x14ac:dyDescent="0.25">
      <c r="A69" s="34"/>
      <c r="B69" s="34"/>
      <c r="C69" s="34"/>
      <c r="D69" s="35"/>
      <c r="E69" s="36"/>
      <c r="F69" s="36"/>
      <c r="G69" s="37"/>
      <c r="H69" s="34"/>
      <c r="I69" s="34"/>
      <c r="J69" s="41"/>
      <c r="K69" s="39"/>
      <c r="L69" s="40"/>
      <c r="M69" s="41"/>
    </row>
    <row r="70" spans="1:13" s="43" customFormat="1" ht="12.75" x14ac:dyDescent="0.25">
      <c r="A70" s="34"/>
      <c r="B70" s="34"/>
      <c r="C70" s="34"/>
      <c r="D70" s="35"/>
      <c r="E70" s="36"/>
      <c r="F70" s="36"/>
      <c r="G70" s="37"/>
      <c r="H70" s="34"/>
      <c r="I70" s="34"/>
      <c r="J70" s="41"/>
      <c r="K70" s="39"/>
      <c r="L70" s="40"/>
      <c r="M70" s="41"/>
    </row>
    <row r="71" spans="1:13" s="43" customFormat="1" ht="12.75" x14ac:dyDescent="0.25">
      <c r="A71" s="34"/>
      <c r="B71" s="34"/>
      <c r="C71" s="34"/>
      <c r="D71" s="35"/>
      <c r="E71" s="36"/>
      <c r="F71" s="36"/>
      <c r="G71" s="37"/>
      <c r="H71" s="34"/>
      <c r="I71" s="34"/>
      <c r="J71" s="41"/>
      <c r="K71" s="39"/>
      <c r="L71" s="40"/>
      <c r="M71" s="41"/>
    </row>
    <row r="72" spans="1:13" s="43" customFormat="1" ht="12.75" x14ac:dyDescent="0.25">
      <c r="A72" s="34"/>
      <c r="B72" s="34"/>
      <c r="C72" s="34"/>
      <c r="D72" s="35"/>
      <c r="E72" s="36"/>
      <c r="F72" s="36"/>
      <c r="G72" s="37"/>
      <c r="H72" s="34"/>
      <c r="I72" s="34"/>
      <c r="J72" s="41"/>
      <c r="K72" s="39"/>
      <c r="L72" s="40"/>
      <c r="M72" s="41"/>
    </row>
    <row r="73" spans="1:13" s="43" customFormat="1" ht="12.75" x14ac:dyDescent="0.25">
      <c r="A73" s="34"/>
      <c r="B73" s="34"/>
      <c r="C73" s="34"/>
      <c r="D73" s="35"/>
      <c r="E73" s="36"/>
      <c r="F73" s="36"/>
      <c r="G73" s="37"/>
      <c r="H73" s="34"/>
      <c r="I73" s="34"/>
      <c r="J73" s="41"/>
      <c r="K73" s="39"/>
      <c r="L73" s="40"/>
      <c r="M73" s="41"/>
    </row>
    <row r="74" spans="1:13" s="15" customFormat="1" ht="12.75" x14ac:dyDescent="0.2">
      <c r="A74" s="47" t="s">
        <v>205</v>
      </c>
      <c r="B74" s="65"/>
      <c r="C74" s="65"/>
      <c r="D74" s="88">
        <f>SUM(D57:D73)</f>
        <v>9.75E-3</v>
      </c>
      <c r="E74" s="49">
        <f>SUM(E56:E73)</f>
        <v>1728254.0807379901</v>
      </c>
      <c r="F74" s="68"/>
      <c r="G74" s="68"/>
      <c r="H74" s="65"/>
      <c r="I74" s="65"/>
      <c r="J74" s="47"/>
      <c r="K74" s="49">
        <f>SUM(K56:K73)</f>
        <v>1758339.5641025649</v>
      </c>
      <c r="L74" s="52">
        <f>'Oct 12'!$K74/$K$2</f>
        <v>9.9060750390215016E-3</v>
      </c>
      <c r="M74" s="59"/>
    </row>
    <row r="75" spans="1:13" s="2" customFormat="1" ht="12.75" x14ac:dyDescent="0.2">
      <c r="A75" s="34"/>
      <c r="B75" s="61"/>
      <c r="C75" s="61"/>
      <c r="D75" s="74"/>
      <c r="E75" s="36"/>
      <c r="F75" s="36"/>
      <c r="G75" s="37"/>
      <c r="H75" s="61"/>
      <c r="I75" s="61"/>
      <c r="J75" s="34"/>
      <c r="K75" s="34"/>
      <c r="L75" s="40"/>
      <c r="M75" s="62"/>
    </row>
    <row r="76" spans="1:13" s="43" customFormat="1" ht="25.5" x14ac:dyDescent="0.25">
      <c r="A76" s="47" t="s">
        <v>206</v>
      </c>
      <c r="B76" s="54" t="s">
        <v>207</v>
      </c>
      <c r="C76" s="54" t="s">
        <v>119</v>
      </c>
      <c r="D76" s="55">
        <v>1.2304000000000001E-2</v>
      </c>
      <c r="E76" s="56">
        <f>'Oct 12'!$D76*$C$6*$C$2</f>
        <v>2180968.0214769468</v>
      </c>
      <c r="F76" s="56">
        <v>26566.728571428601</v>
      </c>
      <c r="G76" s="57">
        <f>'Oct 12'!$E76/'Oct 12'!$F76</f>
        <v>82.093962589826972</v>
      </c>
      <c r="H76" s="54">
        <v>70</v>
      </c>
      <c r="I76" s="54">
        <v>82</v>
      </c>
      <c r="J76" s="75">
        <f>I76-H76</f>
        <v>12</v>
      </c>
      <c r="K76" s="56">
        <f>'Oct 12'!$F76*'Oct 12'!$I76</f>
        <v>2178471.7428571451</v>
      </c>
      <c r="L76" s="76">
        <f>'Oct 12'!$K76/$K$2</f>
        <v>1.227300175443931E-2</v>
      </c>
      <c r="M76" s="54"/>
    </row>
    <row r="77" spans="1:13" s="2" customFormat="1" ht="12.75" x14ac:dyDescent="0.2">
      <c r="A77" s="34"/>
      <c r="B77" s="61"/>
      <c r="C77" s="61"/>
      <c r="D77" s="74"/>
      <c r="E77" s="36"/>
      <c r="F77" s="36"/>
      <c r="G77" s="37"/>
      <c r="H77" s="61"/>
      <c r="I77" s="61"/>
      <c r="J77" s="34"/>
      <c r="K77" s="34"/>
      <c r="L77" s="40"/>
      <c r="M77" s="62"/>
    </row>
    <row r="78" spans="1:13" s="2" customFormat="1" ht="12.75" x14ac:dyDescent="0.2">
      <c r="A78" s="34"/>
      <c r="B78" s="61"/>
      <c r="C78" s="61"/>
      <c r="D78" s="77"/>
      <c r="E78" s="63"/>
      <c r="F78" s="36"/>
      <c r="G78" s="37"/>
      <c r="H78" s="61"/>
      <c r="I78" s="61"/>
      <c r="J78" s="34"/>
      <c r="K78" s="34"/>
      <c r="L78" s="40"/>
      <c r="M78" s="62"/>
    </row>
    <row r="79" spans="1:13" s="15" customFormat="1" ht="12.75" x14ac:dyDescent="0.2">
      <c r="A79" s="47" t="s">
        <v>208</v>
      </c>
      <c r="B79" s="65"/>
      <c r="C79" s="65"/>
      <c r="D79" s="65"/>
      <c r="E79" s="78"/>
      <c r="F79" s="78"/>
      <c r="G79" s="47"/>
      <c r="H79" s="65"/>
      <c r="I79" s="65"/>
      <c r="J79" s="65"/>
      <c r="K79" s="78">
        <f>SUM(K27,K29,K44,K54,K74,K76)</f>
        <v>177501135.12932262</v>
      </c>
      <c r="L79" s="52">
        <f>'Oct 12'!$K79/$K$2</f>
        <v>1.0000000000000002</v>
      </c>
      <c r="M79" s="65"/>
    </row>
    <row r="80" spans="1:13" s="2" customFormat="1" ht="12.75" x14ac:dyDescent="0.2">
      <c r="A80" s="62"/>
      <c r="B80" s="62"/>
      <c r="C80" s="62"/>
      <c r="D80" s="79"/>
      <c r="E80" s="80"/>
      <c r="F80" s="36"/>
      <c r="G80" s="81"/>
      <c r="H80" s="62"/>
      <c r="I80" s="62"/>
      <c r="J80" s="62"/>
      <c r="K80" s="62"/>
      <c r="L80" s="40"/>
      <c r="M80" s="62"/>
    </row>
    <row r="81" spans="1:13" s="2" customFormat="1" ht="12.75" x14ac:dyDescent="0.2">
      <c r="A81" s="62"/>
      <c r="B81" s="62"/>
      <c r="C81" s="62"/>
      <c r="D81" s="79"/>
      <c r="E81" s="80"/>
      <c r="F81" s="36"/>
      <c r="G81" s="81"/>
      <c r="H81" s="62"/>
      <c r="I81" s="62"/>
      <c r="J81" s="62"/>
      <c r="K81" s="62"/>
      <c r="L81" s="40"/>
      <c r="M81" s="62"/>
    </row>
    <row r="82" spans="1:13" s="2" customFormat="1" ht="12.75" x14ac:dyDescent="0.2">
      <c r="A82" s="62"/>
      <c r="B82" s="62"/>
      <c r="C82" s="62"/>
      <c r="D82" s="79"/>
      <c r="E82" s="80"/>
      <c r="F82" s="36"/>
      <c r="G82" s="81"/>
      <c r="H82" s="62"/>
      <c r="I82" s="62"/>
      <c r="J82" s="62"/>
      <c r="K82" s="62"/>
      <c r="L82" s="40"/>
      <c r="M82" s="62"/>
    </row>
    <row r="83" spans="1:13" s="2" customFormat="1" ht="12.75" x14ac:dyDescent="0.2">
      <c r="A83" s="62"/>
      <c r="B83" s="62"/>
      <c r="C83" s="62"/>
      <c r="D83" s="79"/>
      <c r="E83" s="80"/>
      <c r="F83" s="36"/>
      <c r="G83" s="81"/>
      <c r="H83" s="62"/>
      <c r="I83" s="62"/>
      <c r="J83" s="62"/>
      <c r="K83" s="62"/>
      <c r="L83" s="40"/>
      <c r="M83" s="62"/>
    </row>
    <row r="84" spans="1:13" s="2" customFormat="1" ht="12.75" x14ac:dyDescent="0.2">
      <c r="A84" s="62"/>
      <c r="B84" s="62"/>
      <c r="C84" s="62"/>
      <c r="D84" s="79"/>
      <c r="E84" s="80"/>
      <c r="F84" s="36"/>
      <c r="G84" s="81"/>
      <c r="H84" s="62"/>
      <c r="I84" s="62"/>
      <c r="J84" s="62"/>
      <c r="K84" s="62"/>
      <c r="L84" s="40"/>
      <c r="M84" s="62"/>
    </row>
    <row r="85" spans="1:13" s="2" customFormat="1" ht="12.75" x14ac:dyDescent="0.2">
      <c r="A85" s="62"/>
      <c r="B85" s="62"/>
      <c r="C85" s="62"/>
      <c r="D85" s="79"/>
      <c r="E85" s="80"/>
      <c r="F85" s="36"/>
      <c r="G85" s="81"/>
      <c r="H85" s="62"/>
      <c r="I85" s="62"/>
      <c r="J85" s="62"/>
      <c r="K85" s="62"/>
      <c r="L85" s="40"/>
      <c r="M85" s="62"/>
    </row>
    <row r="86" spans="1:13" s="2" customFormat="1" ht="12.75" x14ac:dyDescent="0.2">
      <c r="A86" s="62"/>
      <c r="B86" s="62"/>
      <c r="C86" s="62"/>
      <c r="D86" s="79"/>
      <c r="E86" s="80"/>
      <c r="F86" s="36"/>
      <c r="G86" s="81"/>
      <c r="H86" s="62"/>
      <c r="I86" s="62"/>
      <c r="J86" s="62"/>
      <c r="K86" s="62"/>
      <c r="L86" s="40"/>
      <c r="M86" s="62"/>
    </row>
    <row r="87" spans="1:13" s="2" customFormat="1" ht="12.75" x14ac:dyDescent="0.2">
      <c r="A87" s="62"/>
      <c r="B87" s="62"/>
      <c r="C87" s="62"/>
      <c r="D87" s="79"/>
      <c r="E87" s="80"/>
      <c r="F87" s="36"/>
      <c r="G87" s="81"/>
      <c r="H87" s="62"/>
      <c r="I87" s="62"/>
      <c r="J87" s="62"/>
      <c r="K87" s="62"/>
      <c r="L87" s="40"/>
      <c r="M87" s="62"/>
    </row>
    <row r="88" spans="1:13" s="2" customFormat="1" ht="12.75" x14ac:dyDescent="0.2">
      <c r="A88" s="62"/>
      <c r="B88" s="62"/>
      <c r="C88" s="62"/>
      <c r="D88" s="79"/>
      <c r="E88" s="80"/>
      <c r="F88" s="36"/>
      <c r="G88" s="81"/>
      <c r="H88" s="62"/>
      <c r="I88" s="62"/>
      <c r="J88" s="62"/>
      <c r="K88" s="62"/>
      <c r="L88" s="40"/>
      <c r="M88" s="62"/>
    </row>
    <row r="89" spans="1:13" s="2" customFormat="1" ht="12.75" x14ac:dyDescent="0.2"/>
    <row r="90" spans="1:13" s="2" customFormat="1" ht="12.75" x14ac:dyDescent="0.2"/>
    <row r="92" spans="1:13" s="2" customFormat="1" ht="12.75" x14ac:dyDescent="0.2">
      <c r="A92" s="82"/>
      <c r="B92" s="82"/>
      <c r="E92" s="82"/>
      <c r="F92" s="82"/>
      <c r="G92" s="82"/>
      <c r="H92" s="83"/>
      <c r="M92" s="82"/>
    </row>
    <row r="93" spans="1:13" s="2" customFormat="1" ht="12.75" x14ac:dyDescent="0.2">
      <c r="A93" s="82"/>
      <c r="B93" s="82"/>
      <c r="E93" s="82"/>
      <c r="F93" s="82"/>
      <c r="G93" s="82"/>
      <c r="H93" s="83"/>
      <c r="M93" s="82"/>
    </row>
    <row r="94" spans="1:13" s="2" customFormat="1" ht="12.75" x14ac:dyDescent="0.2">
      <c r="A94" s="84"/>
      <c r="B94" s="84"/>
    </row>
    <row r="95" spans="1:13" s="2" customFormat="1" ht="12.75" x14ac:dyDescent="0.2">
      <c r="A95" s="85"/>
      <c r="B95" s="85"/>
      <c r="E95" s="85"/>
      <c r="F95" s="84"/>
      <c r="G95" s="84"/>
      <c r="M95" s="86"/>
    </row>
    <row r="96" spans="1:13" s="2" customFormat="1" ht="12.75" x14ac:dyDescent="0.2"/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TWS data</vt:lpstr>
      <vt:lpstr>Oct 01</vt:lpstr>
      <vt:lpstr>Oct 02</vt:lpstr>
      <vt:lpstr>Oct 05</vt:lpstr>
      <vt:lpstr>Oct 06</vt:lpstr>
      <vt:lpstr>Oct 07</vt:lpstr>
      <vt:lpstr>Oct 08</vt:lpstr>
      <vt:lpstr>Oct 09</vt:lpstr>
      <vt:lpstr>Oct 12</vt:lpstr>
      <vt:lpstr>Oct 13</vt:lpstr>
      <vt:lpstr>Oct 14</vt:lpstr>
      <vt:lpstr>Oct 15</vt:lpstr>
      <vt:lpstr>Oct 16</vt:lpstr>
      <vt:lpstr>Oct 19</vt:lpstr>
      <vt:lpstr>Oct 20</vt:lpstr>
      <vt:lpstr>Oct 21</vt:lpstr>
      <vt:lpstr>Oct 22</vt:lpstr>
      <vt:lpstr>Oct 23</vt:lpstr>
      <vt:lpstr>Oct 26</vt:lpstr>
      <vt:lpstr>Oct 27</vt:lpstr>
      <vt:lpstr>Oct 28</vt:lpstr>
      <vt:lpstr>Oct 29</vt:lpstr>
      <vt:lpstr>Oct 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Golden Horse</dc:creator>
  <dc:description/>
  <cp:lastModifiedBy>Golden Horse FM</cp:lastModifiedBy>
  <cp:revision>113</cp:revision>
  <cp:lastPrinted>2020-06-30T06:21:10Z</cp:lastPrinted>
  <dcterms:created xsi:type="dcterms:W3CDTF">2020-06-30T03:42:56Z</dcterms:created>
  <dcterms:modified xsi:type="dcterms:W3CDTF">2020-10-30T08:39:46Z</dcterms:modified>
  <dc:language>en-SG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f59dd16a-6f38-4c61-8740-1c2c41fd22a2</vt:lpwstr>
  </property>
</Properties>
</file>