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E2D40CDD-9CBA-4CAC-AC1D-D61BC0CAA43E}" xr6:coauthVersionLast="45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TWS data" sheetId="1" r:id="rId1"/>
    <sheet name="Feb 0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8" i="2" l="1"/>
  <c r="M30" i="1" l="1"/>
  <c r="D33" i="2" l="1"/>
  <c r="K66" i="2"/>
  <c r="J66" i="2"/>
  <c r="D64" i="2"/>
  <c r="H60" i="2"/>
  <c r="H59" i="2"/>
  <c r="H58" i="2"/>
  <c r="H57" i="2"/>
  <c r="H56" i="2"/>
  <c r="H55" i="2"/>
  <c r="H54" i="2"/>
  <c r="H53" i="2"/>
  <c r="H52" i="2"/>
  <c r="H51" i="2"/>
  <c r="D49" i="2"/>
  <c r="H47" i="2"/>
  <c r="H46" i="2"/>
  <c r="H45" i="2"/>
  <c r="H44" i="2"/>
  <c r="H43" i="2"/>
  <c r="H42" i="2"/>
  <c r="H41" i="2"/>
  <c r="H40" i="2"/>
  <c r="H39" i="2"/>
  <c r="H38" i="2"/>
  <c r="H37" i="2"/>
  <c r="H35" i="2"/>
  <c r="G5" i="2"/>
  <c r="H31" i="2"/>
  <c r="H29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C6" i="2"/>
  <c r="M45" i="1"/>
  <c r="M44" i="1"/>
  <c r="M43" i="1"/>
  <c r="M42" i="1"/>
  <c r="M41" i="1"/>
  <c r="M40" i="1"/>
  <c r="F42" i="2" s="1"/>
  <c r="M39" i="1"/>
  <c r="F20" i="2" s="1"/>
  <c r="M38" i="1"/>
  <c r="M37" i="1"/>
  <c r="F11" i="2" s="1"/>
  <c r="M36" i="1"/>
  <c r="M35" i="1"/>
  <c r="F13" i="2" s="1"/>
  <c r="M34" i="1"/>
  <c r="M33" i="1"/>
  <c r="F9" i="2" s="1"/>
  <c r="M32" i="1"/>
  <c r="M31" i="1"/>
  <c r="F35" i="2" s="1"/>
  <c r="M29" i="1"/>
  <c r="F18" i="2" s="1"/>
  <c r="M28" i="1"/>
  <c r="M27" i="1"/>
  <c r="F12" i="2" s="1"/>
  <c r="M26" i="1"/>
  <c r="M25" i="1"/>
  <c r="F16" i="2" s="1"/>
  <c r="M24" i="1"/>
  <c r="M23" i="1"/>
  <c r="F15" i="2" s="1"/>
  <c r="M22" i="1"/>
  <c r="F21" i="2" s="1"/>
  <c r="M21" i="1"/>
  <c r="F51" i="2" s="1"/>
  <c r="M20" i="1"/>
  <c r="M19" i="1"/>
  <c r="F44" i="2" s="1"/>
  <c r="M18" i="1"/>
  <c r="M17" i="1"/>
  <c r="F46" i="2" s="1"/>
  <c r="M16" i="1"/>
  <c r="F29" i="2" s="1"/>
  <c r="M15" i="1"/>
  <c r="F59" i="2" s="1"/>
  <c r="M14" i="1"/>
  <c r="M13" i="1"/>
  <c r="F53" i="2" s="1"/>
  <c r="M12" i="1"/>
  <c r="F54" i="2" s="1"/>
  <c r="M11" i="1"/>
  <c r="F55" i="2" s="1"/>
  <c r="M10" i="1"/>
  <c r="F22" i="2" s="1"/>
  <c r="M9" i="1"/>
  <c r="F58" i="2" s="1"/>
  <c r="M8" i="1"/>
  <c r="M7" i="1"/>
  <c r="F39" i="2" s="1"/>
  <c r="M6" i="1"/>
  <c r="M5" i="1"/>
  <c r="F41" i="2" s="1"/>
  <c r="M4" i="1"/>
  <c r="F14" i="2" s="1"/>
  <c r="M3" i="1"/>
  <c r="F56" i="2" s="1"/>
  <c r="M2" i="1"/>
  <c r="E49" i="2" l="1"/>
  <c r="F57" i="2"/>
  <c r="F17" i="2"/>
  <c r="F23" i="2"/>
  <c r="F19" i="2"/>
  <c r="F37" i="2"/>
  <c r="F45" i="2"/>
  <c r="F38" i="2"/>
  <c r="F47" i="2"/>
  <c r="F40" i="2"/>
  <c r="F43" i="2"/>
  <c r="F31" i="2"/>
  <c r="G31" i="2" s="1"/>
  <c r="I31" i="2" s="1"/>
  <c r="F10" i="2"/>
  <c r="F60" i="2"/>
  <c r="F52" i="2"/>
  <c r="E31" i="2"/>
  <c r="E30" i="2"/>
  <c r="E29" i="2"/>
  <c r="G29" i="2" s="1"/>
  <c r="I29" i="2" s="1"/>
  <c r="E28" i="2"/>
  <c r="G28" i="2" s="1"/>
  <c r="I28" i="2" s="1"/>
  <c r="E11" i="2"/>
  <c r="G11" i="2" s="1"/>
  <c r="I11" i="2" s="1"/>
  <c r="E14" i="2"/>
  <c r="G14" i="2" s="1"/>
  <c r="I14" i="2" s="1"/>
  <c r="E17" i="2"/>
  <c r="G17" i="2" s="1"/>
  <c r="I17" i="2" s="1"/>
  <c r="E20" i="2"/>
  <c r="G20" i="2" s="1"/>
  <c r="I20" i="2" s="1"/>
  <c r="E23" i="2"/>
  <c r="G23" i="2" s="1"/>
  <c r="I23" i="2" s="1"/>
  <c r="E26" i="2"/>
  <c r="G26" i="2" s="1"/>
  <c r="I26" i="2" s="1"/>
  <c r="G30" i="2"/>
  <c r="I30" i="2" s="1"/>
  <c r="E38" i="2"/>
  <c r="E41" i="2"/>
  <c r="G41" i="2" s="1"/>
  <c r="I41" i="2" s="1"/>
  <c r="E44" i="2"/>
  <c r="G44" i="2" s="1"/>
  <c r="I44" i="2" s="1"/>
  <c r="E47" i="2"/>
  <c r="E51" i="2"/>
  <c r="E54" i="2"/>
  <c r="G54" i="2" s="1"/>
  <c r="I54" i="2" s="1"/>
  <c r="E57" i="2"/>
  <c r="E60" i="2"/>
  <c r="E10" i="2"/>
  <c r="E13" i="2"/>
  <c r="G13" i="2" s="1"/>
  <c r="I13" i="2" s="1"/>
  <c r="E16" i="2"/>
  <c r="G16" i="2" s="1"/>
  <c r="I16" i="2" s="1"/>
  <c r="E19" i="2"/>
  <c r="E22" i="2"/>
  <c r="G22" i="2" s="1"/>
  <c r="I22" i="2" s="1"/>
  <c r="E25" i="2"/>
  <c r="G25" i="2" s="1"/>
  <c r="I25" i="2" s="1"/>
  <c r="E37" i="2"/>
  <c r="G37" i="2" s="1"/>
  <c r="I37" i="2" s="1"/>
  <c r="E40" i="2"/>
  <c r="E43" i="2"/>
  <c r="E46" i="2"/>
  <c r="G46" i="2" s="1"/>
  <c r="I46" i="2" s="1"/>
  <c r="E53" i="2"/>
  <c r="G53" i="2" s="1"/>
  <c r="I53" i="2" s="1"/>
  <c r="E56" i="2"/>
  <c r="G56" i="2" s="1"/>
  <c r="I56" i="2" s="1"/>
  <c r="E59" i="2"/>
  <c r="G59" i="2" s="1"/>
  <c r="I59" i="2" s="1"/>
  <c r="E62" i="2"/>
  <c r="G62" i="2" s="1"/>
  <c r="I62" i="2" s="1"/>
  <c r="E66" i="2"/>
  <c r="E33" i="2"/>
  <c r="E9" i="2"/>
  <c r="G9" i="2" s="1"/>
  <c r="I9" i="2" s="1"/>
  <c r="E12" i="2"/>
  <c r="G12" i="2" s="1"/>
  <c r="I12" i="2" s="1"/>
  <c r="E15" i="2"/>
  <c r="G15" i="2" s="1"/>
  <c r="I15" i="2" s="1"/>
  <c r="E18" i="2"/>
  <c r="G18" i="2" s="1"/>
  <c r="I18" i="2" s="1"/>
  <c r="E21" i="2"/>
  <c r="G21" i="2" s="1"/>
  <c r="I21" i="2" s="1"/>
  <c r="E24" i="2"/>
  <c r="G24" i="2" s="1"/>
  <c r="I24" i="2" s="1"/>
  <c r="E27" i="2"/>
  <c r="G27" i="2" s="1"/>
  <c r="I27" i="2" s="1"/>
  <c r="E35" i="2"/>
  <c r="G35" i="2" s="1"/>
  <c r="I35" i="2" s="1"/>
  <c r="E39" i="2"/>
  <c r="G39" i="2" s="1"/>
  <c r="I39" i="2" s="1"/>
  <c r="E42" i="2"/>
  <c r="G42" i="2" s="1"/>
  <c r="I42" i="2" s="1"/>
  <c r="E45" i="2"/>
  <c r="E52" i="2"/>
  <c r="E55" i="2"/>
  <c r="G55" i="2" s="1"/>
  <c r="I55" i="2" s="1"/>
  <c r="E58" i="2"/>
  <c r="G58" i="2" s="1"/>
  <c r="I58" i="2" s="1"/>
  <c r="E61" i="2"/>
  <c r="G61" i="2" s="1"/>
  <c r="I61" i="2" s="1"/>
  <c r="J39" i="2" l="1"/>
  <c r="J14" i="2"/>
  <c r="J20" i="2"/>
  <c r="J55" i="2"/>
  <c r="J27" i="2"/>
  <c r="K28" i="2"/>
  <c r="J53" i="2"/>
  <c r="J42" i="2"/>
  <c r="J23" i="2"/>
  <c r="J11" i="2"/>
  <c r="J59" i="2"/>
  <c r="J37" i="2"/>
  <c r="J26" i="2"/>
  <c r="J12" i="2"/>
  <c r="J21" i="2"/>
  <c r="J58" i="2"/>
  <c r="J15" i="2"/>
  <c r="J54" i="2"/>
  <c r="J9" i="2"/>
  <c r="J35" i="2"/>
  <c r="J31" i="2"/>
  <c r="J41" i="2"/>
  <c r="J29" i="2"/>
  <c r="J44" i="2"/>
  <c r="J24" i="2"/>
  <c r="J18" i="2"/>
  <c r="J62" i="2"/>
  <c r="J56" i="2"/>
  <c r="J25" i="2"/>
  <c r="J16" i="2"/>
  <c r="J30" i="2"/>
  <c r="J17" i="2"/>
  <c r="J46" i="2"/>
  <c r="J22" i="2"/>
  <c r="J13" i="2"/>
  <c r="J61" i="2"/>
  <c r="G57" i="2"/>
  <c r="I57" i="2" s="1"/>
  <c r="J28" i="2"/>
  <c r="G10" i="2"/>
  <c r="I10" i="2" s="1"/>
  <c r="G60" i="2"/>
  <c r="I60" i="2" s="1"/>
  <c r="G43" i="2"/>
  <c r="I43" i="2" s="1"/>
  <c r="G45" i="2"/>
  <c r="I45" i="2" s="1"/>
  <c r="G38" i="2"/>
  <c r="I38" i="2" s="1"/>
  <c r="G19" i="2"/>
  <c r="I19" i="2" s="1"/>
  <c r="K10" i="2"/>
  <c r="G40" i="2"/>
  <c r="I40" i="2" s="1"/>
  <c r="K59" i="2"/>
  <c r="G47" i="2"/>
  <c r="I47" i="2" s="1"/>
  <c r="K56" i="2"/>
  <c r="K60" i="2"/>
  <c r="G52" i="2"/>
  <c r="I52" i="2" s="1"/>
  <c r="K62" i="2"/>
  <c r="K42" i="2"/>
  <c r="K13" i="2"/>
  <c r="K39" i="2"/>
  <c r="K26" i="2"/>
  <c r="K17" i="2"/>
  <c r="K30" i="2"/>
  <c r="K27" i="2"/>
  <c r="K40" i="2"/>
  <c r="K15" i="2"/>
  <c r="G51" i="2"/>
  <c r="I51" i="2" s="1"/>
  <c r="E64" i="2"/>
  <c r="E2" i="2" s="1"/>
  <c r="K9" i="2"/>
  <c r="K46" i="2"/>
  <c r="K37" i="2"/>
  <c r="K22" i="2"/>
  <c r="K18" i="2"/>
  <c r="K12" i="2"/>
  <c r="K54" i="2"/>
  <c r="K29" i="2"/>
  <c r="K41" i="2"/>
  <c r="K35" i="2"/>
  <c r="K44" i="2"/>
  <c r="K11" i="2"/>
  <c r="K21" i="2"/>
  <c r="K43" i="2"/>
  <c r="K24" i="2"/>
  <c r="K61" i="2"/>
  <c r="K57" i="2"/>
  <c r="K31" i="2"/>
  <c r="K19" i="2"/>
  <c r="K16" i="2"/>
  <c r="K45" i="2"/>
  <c r="K25" i="2"/>
  <c r="K58" i="2"/>
  <c r="K23" i="2"/>
  <c r="K55" i="2"/>
  <c r="K14" i="2"/>
  <c r="K53" i="2"/>
  <c r="K20" i="2"/>
  <c r="J43" i="2" l="1"/>
  <c r="J52" i="2"/>
  <c r="J19" i="2"/>
  <c r="J60" i="2"/>
  <c r="J40" i="2"/>
  <c r="J57" i="2"/>
  <c r="J10" i="2"/>
  <c r="J45" i="2"/>
  <c r="J47" i="2"/>
  <c r="J38" i="2"/>
  <c r="K52" i="2"/>
  <c r="E4" i="2"/>
  <c r="K47" i="2"/>
  <c r="K38" i="2"/>
  <c r="K49" i="2"/>
  <c r="K33" i="2"/>
  <c r="J51" i="2"/>
  <c r="K51" i="2"/>
  <c r="K64" i="2" l="1"/>
  <c r="K69" i="2" s="1"/>
  <c r="K2" i="2" l="1"/>
  <c r="L26" i="2" s="1"/>
  <c r="K4" i="2"/>
  <c r="M4" i="2" s="1"/>
  <c r="L57" i="2" l="1"/>
  <c r="L55" i="2"/>
  <c r="L62" i="2"/>
  <c r="L16" i="2"/>
  <c r="L14" i="2"/>
  <c r="L46" i="2"/>
  <c r="L52" i="2"/>
  <c r="L53" i="2"/>
  <c r="L44" i="2"/>
  <c r="L21" i="2"/>
  <c r="L15" i="2"/>
  <c r="L58" i="2"/>
  <c r="L25" i="2"/>
  <c r="L43" i="2"/>
  <c r="L22" i="2"/>
  <c r="L49" i="2"/>
  <c r="L20" i="2"/>
  <c r="L66" i="2"/>
  <c r="L38" i="2"/>
  <c r="L39" i="2"/>
  <c r="L18" i="2"/>
  <c r="L47" i="2"/>
  <c r="L10" i="2"/>
  <c r="L64" i="2"/>
  <c r="L2" i="2" s="1"/>
  <c r="L40" i="2"/>
  <c r="L37" i="2"/>
  <c r="L9" i="2"/>
  <c r="L27" i="2"/>
  <c r="L69" i="2"/>
  <c r="L41" i="2"/>
  <c r="L35" i="2"/>
  <c r="L59" i="2"/>
  <c r="L54" i="2"/>
  <c r="L42" i="2"/>
  <c r="L24" i="2"/>
  <c r="L60" i="2"/>
  <c r="L12" i="2"/>
  <c r="L17" i="2"/>
  <c r="L11" i="2"/>
  <c r="L30" i="2"/>
  <c r="L45" i="2"/>
  <c r="L56" i="2"/>
  <c r="L23" i="2"/>
  <c r="L13" i="2"/>
  <c r="L51" i="2"/>
  <c r="L29" i="2"/>
  <c r="M2" i="2"/>
  <c r="L33" i="2"/>
  <c r="L19" i="2"/>
  <c r="L61" i="2"/>
  <c r="L31" i="2"/>
</calcChain>
</file>

<file path=xl/sharedStrings.xml><?xml version="1.0" encoding="utf-8"?>
<sst xmlns="http://schemas.openxmlformats.org/spreadsheetml/2006/main" count="220" uniqueCount="138">
  <si>
    <t>Daily P&amp;L</t>
  </si>
  <si>
    <t>Financial Instrument</t>
  </si>
  <si>
    <t>Position</t>
  </si>
  <si>
    <t>Market Value</t>
  </si>
  <si>
    <t>2823 SEHK</t>
  </si>
  <si>
    <t>AES</t>
  </si>
  <si>
    <t>ALB</t>
  </si>
  <si>
    <t>ALGN</t>
  </si>
  <si>
    <t>BIDU</t>
  </si>
  <si>
    <t>DE</t>
  </si>
  <si>
    <t>DFS</t>
  </si>
  <si>
    <t>FDX</t>
  </si>
  <si>
    <t>HCA</t>
  </si>
  <si>
    <t>IAU</t>
  </si>
  <si>
    <t>IGIB</t>
  </si>
  <si>
    <t>IR</t>
  </si>
  <si>
    <t>LB</t>
  </si>
  <si>
    <t>PWR</t>
  </si>
  <si>
    <t>QQQ</t>
  </si>
  <si>
    <t>SIVB</t>
  </si>
  <si>
    <t>TT</t>
  </si>
  <si>
    <t>VIAC</t>
  </si>
  <si>
    <t>XYL</t>
  </si>
  <si>
    <t>AH Feb17'21 @LMEOTC</t>
  </si>
  <si>
    <t>BTP Mar08'21 @DTB</t>
  </si>
  <si>
    <t>BTS Mar08'21 @DTB</t>
  </si>
  <si>
    <t>CGB Mar22'21 @CDE</t>
  </si>
  <si>
    <t>GBX Mar08'21 @DTB</t>
  </si>
  <si>
    <t>HG Mar29'21 @NYMEX</t>
  </si>
  <si>
    <t>KE Mar12'21 @ECBOT</t>
  </si>
  <si>
    <t>NG Mar'21 @NYMEX</t>
  </si>
  <si>
    <t>NI Feb17'21 @LMEOTC</t>
  </si>
  <si>
    <t>PA Mar29'21 @NYMEX</t>
  </si>
  <si>
    <t>SCI Feb26'21 @SGX</t>
  </si>
  <si>
    <t>TN Mar22'21 @ECBOT</t>
  </si>
  <si>
    <t>TSR20 Mar'21 @SGX</t>
  </si>
  <si>
    <t>UB Mar22'21 @ECBOT</t>
  </si>
  <si>
    <t>ZB Mar22'21 @ECBOT</t>
  </si>
  <si>
    <t>ZF Mar31'21 @ECBOT</t>
  </si>
  <si>
    <t>ZN Mar22'21 @ECBOT</t>
  </si>
  <si>
    <t>ZS Mar12'21 @ECBOT</t>
  </si>
  <si>
    <t>ZSLME Feb17'21 @LMEOTC</t>
  </si>
  <si>
    <t>ZT Mar31'21 @ECBOT</t>
  </si>
  <si>
    <t>Date</t>
  </si>
  <si>
    <t>Total target value allocation</t>
  </si>
  <si>
    <t>Total Current value Allocation</t>
  </si>
  <si>
    <t>Total Percentage</t>
  </si>
  <si>
    <t>Current Leverage</t>
  </si>
  <si>
    <t>Leverage Multiplier</t>
  </si>
  <si>
    <t>Current NAV</t>
  </si>
  <si>
    <t>Total target value allocation excluding bonds</t>
  </si>
  <si>
    <t>Total target value allocation exclude bonds</t>
  </si>
  <si>
    <t>Leverage excluding bonds</t>
  </si>
  <si>
    <t>Subscription</t>
  </si>
  <si>
    <t>Redemption</t>
  </si>
  <si>
    <t>Final NAV</t>
  </si>
  <si>
    <t>Category</t>
  </si>
  <si>
    <t>IB Ticker</t>
  </si>
  <si>
    <t>Target Allocation (%)</t>
  </si>
  <si>
    <t>Target Value Allocation (USD)</t>
  </si>
  <si>
    <t>Last Price</t>
  </si>
  <si>
    <t>Target Quantity</t>
  </si>
  <si>
    <t>Previous Quantity</t>
  </si>
  <si>
    <t>Current Quantity</t>
  </si>
  <si>
    <t>Change</t>
  </si>
  <si>
    <t>Current Value Allocation</t>
  </si>
  <si>
    <t>Current Allocation Percentage</t>
  </si>
  <si>
    <t>Comments</t>
  </si>
  <si>
    <t>Equity</t>
  </si>
  <si>
    <t>FEDEX CORPORATION</t>
  </si>
  <si>
    <t>L BRANDS INC</t>
  </si>
  <si>
    <t>ALIGN TECHNOLOGY INC</t>
  </si>
  <si>
    <t>QUANTA SERVICES INC</t>
  </si>
  <si>
    <t>DEERE &amp; CO</t>
  </si>
  <si>
    <t>ALBEMARLE CORP</t>
  </si>
  <si>
    <t>VIACOMCBS INC - CLASS B</t>
  </si>
  <si>
    <t>SVB FINANCIAL GROUP</t>
  </si>
  <si>
    <t>DISCOVER FINANCIAL SERVICES</t>
  </si>
  <si>
    <t>INGERSOLL-RAND INC</t>
  </si>
  <si>
    <t>TRANE TECHNOLOGIES PLC</t>
  </si>
  <si>
    <t>AES CORP</t>
  </si>
  <si>
    <t>XYLEM INC</t>
  </si>
  <si>
    <t>HCA HEALTHCARE INC</t>
  </si>
  <si>
    <t>BAIDU INC - SPON ADR</t>
  </si>
  <si>
    <t>MHK</t>
  </si>
  <si>
    <t>MOHAWK INDUSTRIES INC</t>
  </si>
  <si>
    <t>GM</t>
  </si>
  <si>
    <t>GENERAL MOTORS CO</t>
  </si>
  <si>
    <t>TGT</t>
  </si>
  <si>
    <t>TARGET CORP</t>
  </si>
  <si>
    <t>IVZ</t>
  </si>
  <si>
    <t>INVESCO LTD</t>
  </si>
  <si>
    <t>DISCA</t>
  </si>
  <si>
    <t>INVESCO QQQ TRUST SERIES 1</t>
  </si>
  <si>
    <t>ARKK</t>
  </si>
  <si>
    <t>ISHARES FTSE A50 CHINA</t>
  </si>
  <si>
    <t>Equity Total</t>
  </si>
  <si>
    <t>ISHARES GOLD TRUST</t>
  </si>
  <si>
    <t>US Bond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</si>
  <si>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</si>
  <si>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</si>
  <si>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</si>
  <si>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</si>
  <si>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</si>
  <si>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2 Year US Treasury Note</t>
  </si>
  <si>
    <t>Global Bond</t>
  </si>
  <si>
    <t>10 Year Government of Canada Bonds</t>
  </si>
  <si>
    <t>Short-Term Euro-BTP Italian Government Bond</t>
  </si>
  <si>
    <t>Euro-BTP Italian Government Bond</t>
  </si>
  <si>
    <t>Euro Buxl (15 - 30 Year Bond)</t>
  </si>
  <si>
    <t>CORP Bond</t>
  </si>
  <si>
    <t>ISHARES 5-10Y INV GRADE CORP</t>
  </si>
  <si>
    <t>Bonds Total</t>
  </si>
  <si>
    <t>Commodity</t>
  </si>
  <si>
    <t>High-Grade Primary Aluminium</t>
  </si>
  <si>
    <t>NYMEX Copper Index</t>
  </si>
  <si>
    <t xml:space="preserve"> </t>
  </si>
  <si>
    <t>Nickel - LME</t>
  </si>
  <si>
    <t>NYMEX Palladium Index</t>
  </si>
  <si>
    <t>SGX TSI Iron Ore Futures</t>
  </si>
  <si>
    <t>Special High Grade Zinc</t>
  </si>
  <si>
    <t>Henry Hub Natural Gas</t>
  </si>
  <si>
    <t>SICOM Rubber</t>
  </si>
  <si>
    <t>Hard Red Winter Wheat -KCBOT-</t>
  </si>
  <si>
    <t>Soybean Futures</t>
  </si>
  <si>
    <t>ZC Mar12'21 @ECBOT</t>
  </si>
  <si>
    <t>Corn Futures</t>
  </si>
  <si>
    <t>RB Mar'21 @NYMEX</t>
  </si>
  <si>
    <t>NYMEX RBOB Gasoline Index</t>
  </si>
  <si>
    <t>Commodity Total</t>
  </si>
  <si>
    <t>VIX</t>
  </si>
  <si>
    <t>VIX Nov18'20 @CFE</t>
  </si>
  <si>
    <t>CBOE Volatility Index</t>
  </si>
  <si>
    <t>-</t>
  </si>
  <si>
    <t>Total</t>
  </si>
  <si>
    <t>Column1</t>
  </si>
  <si>
    <t>Column2</t>
  </si>
  <si>
    <t>DISCOVERY INC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</si>
</sst>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/dd/yyyy"/>
    <numFmt numFmtId="165" formatCode="\$#,##0.00"/>
    <numFmt numFmtId="166" formatCode="0.000"/>
    <numFmt numFmtId="167" formatCode="0.000%"/>
    <numFmt numFmtId="168" formatCode="&quot; $&quot;* #,##0.00\ ;&quot; $&quot;* \(#,##0.00\);&quot; $&quot;* \-#\ ;@\ "/>
    <numFmt numFmtId="169" formatCode="0.0000%"/>
    <numFmt numFmtId="170" formatCode="\+0;\-0;0"/>
    <numFmt numFmtId="171" formatCode="0.0%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E7E6E6"/>
      </patternFill>
    </fill>
    <fill>
      <patternFill patternType="solid">
        <fgColor rgb="FF1F4E79"/>
        <bgColor rgb="FF003366"/>
      </patternFill>
    </fill>
    <fill>
      <patternFill patternType="solid">
        <fgColor rgb="FFE7E6E6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168" fontId="7" fillId="0" borderId="0" applyBorder="0" applyProtection="0"/>
    <xf numFmtId="9" fontId="7" fillId="0" borderId="0" applyBorder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12" fontId="0" fillId="0" borderId="0" xfId="0" applyNumberFormat="1"/>
    <xf numFmtId="0" fontId="3" fillId="0" borderId="0" xfId="0" applyFont="1"/>
    <xf numFmtId="0" fontId="4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164" fontId="4" fillId="0" borderId="0" xfId="0" applyNumberFormat="1" applyFont="1" applyBorder="1" applyAlignment="1"/>
    <xf numFmtId="9" fontId="4" fillId="0" borderId="1" xfId="2" applyFont="1" applyBorder="1" applyAlignment="1" applyProtection="1">
      <alignment wrapText="1"/>
    </xf>
    <xf numFmtId="9" fontId="3" fillId="0" borderId="0" xfId="2" applyFont="1" applyBorder="1" applyAlignment="1" applyProtection="1"/>
    <xf numFmtId="0" fontId="3" fillId="0" borderId="0" xfId="2" applyNumberFormat="1" applyFont="1" applyBorder="1" applyAlignment="1" applyProtection="1"/>
    <xf numFmtId="165" fontId="4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vertical="center" wrapText="1"/>
    </xf>
    <xf numFmtId="166" fontId="4" fillId="0" borderId="1" xfId="0" applyNumberFormat="1" applyFont="1" applyBorder="1"/>
    <xf numFmtId="0" fontId="4" fillId="0" borderId="0" xfId="0" applyFont="1" applyBorder="1"/>
    <xf numFmtId="165" fontId="4" fillId="2" borderId="1" xfId="0" applyNumberFormat="1" applyFont="1" applyFill="1" applyBorder="1"/>
    <xf numFmtId="165" fontId="4" fillId="0" borderId="0" xfId="0" applyNumberFormat="1" applyFont="1"/>
    <xf numFmtId="0" fontId="4" fillId="0" borderId="0" xfId="0" applyFont="1"/>
    <xf numFmtId="10" fontId="4" fillId="2" borderId="1" xfId="0" applyNumberFormat="1" applyFont="1" applyFill="1" applyBorder="1"/>
    <xf numFmtId="0" fontId="4" fillId="2" borderId="1" xfId="0" applyFont="1" applyFill="1" applyBorder="1"/>
    <xf numFmtId="167" fontId="3" fillId="0" borderId="0" xfId="0" applyNumberFormat="1" applyFont="1"/>
    <xf numFmtId="165" fontId="4" fillId="0" borderId="1" xfId="1" applyNumberFormat="1" applyFont="1" applyBorder="1" applyAlignment="1" applyProtection="1"/>
    <xf numFmtId="10" fontId="4" fillId="0" borderId="0" xfId="1" applyNumberFormat="1" applyFont="1" applyBorder="1" applyAlignment="1" applyProtection="1"/>
    <xf numFmtId="9" fontId="3" fillId="0" borderId="0" xfId="0" applyNumberFormat="1" applyFont="1"/>
    <xf numFmtId="10" fontId="4" fillId="0" borderId="0" xfId="0" applyNumberFormat="1" applyFont="1"/>
    <xf numFmtId="0" fontId="4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/>
    <xf numFmtId="0" fontId="4" fillId="3" borderId="0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16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3" fillId="3" borderId="1" xfId="0" applyFont="1" applyFill="1" applyBorder="1" applyAlignment="1">
      <alignment vertical="center" wrapText="1"/>
    </xf>
    <xf numFmtId="169" fontId="3" fillId="3" borderId="1" xfId="2" applyNumberFormat="1" applyFont="1" applyFill="1" applyBorder="1" applyAlignment="1" applyProtection="1">
      <alignment vertical="center" wrapText="1"/>
    </xf>
    <xf numFmtId="165" fontId="3" fillId="3" borderId="1" xfId="0" applyNumberFormat="1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70" fontId="4" fillId="3" borderId="1" xfId="0" applyNumberFormat="1" applyFont="1" applyFill="1" applyBorder="1" applyAlignment="1">
      <alignment vertical="center" wrapText="1"/>
    </xf>
    <xf numFmtId="165" fontId="4" fillId="3" borderId="1" xfId="0" applyNumberFormat="1" applyFont="1" applyFill="1" applyBorder="1" applyAlignment="1">
      <alignment vertical="center" wrapText="1"/>
    </xf>
    <xf numFmtId="169" fontId="4" fillId="3" borderId="1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9" fontId="3" fillId="0" borderId="0" xfId="0" applyNumberFormat="1" applyFont="1" applyAlignment="1">
      <alignment vertical="center" wrapText="1"/>
    </xf>
    <xf numFmtId="170" fontId="3" fillId="3" borderId="1" xfId="0" applyNumberFormat="1" applyFont="1" applyFill="1" applyBorder="1" applyAlignment="1">
      <alignment vertical="center" wrapText="1"/>
    </xf>
    <xf numFmtId="169" fontId="3" fillId="3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0" fontId="4" fillId="5" borderId="1" xfId="0" applyNumberFormat="1" applyFont="1" applyFill="1" applyBorder="1" applyAlignment="1">
      <alignment vertical="center" wrapText="1"/>
    </xf>
    <xf numFmtId="165" fontId="4" fillId="5" borderId="1" xfId="2" applyNumberFormat="1" applyFont="1" applyFill="1" applyBorder="1" applyAlignment="1" applyProtection="1">
      <alignment vertical="center" wrapText="1"/>
    </xf>
    <xf numFmtId="2" fontId="4" fillId="5" borderId="1" xfId="2" applyNumberFormat="1" applyFont="1" applyFill="1" applyBorder="1" applyAlignment="1" applyProtection="1">
      <alignment vertical="center" wrapText="1"/>
    </xf>
    <xf numFmtId="170" fontId="4" fillId="5" borderId="1" xfId="2" applyNumberFormat="1" applyFont="1" applyFill="1" applyBorder="1" applyAlignment="1" applyProtection="1">
      <alignment vertical="center" wrapText="1"/>
    </xf>
    <xf numFmtId="169" fontId="4" fillId="5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9" fontId="4" fillId="0" borderId="0" xfId="0" applyNumberFormat="1" applyFont="1" applyAlignment="1">
      <alignment vertical="center" wrapText="1"/>
    </xf>
    <xf numFmtId="171" fontId="3" fillId="0" borderId="0" xfId="0" applyNumberFormat="1" applyFon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9" fontId="3" fillId="5" borderId="1" xfId="2" applyNumberFormat="1" applyFont="1" applyFill="1" applyBorder="1" applyAlignment="1" applyProtection="1">
      <alignment vertical="center" wrapText="1"/>
    </xf>
    <xf numFmtId="165" fontId="3" fillId="5" borderId="1" xfId="0" applyNumberFormat="1" applyFont="1" applyFill="1" applyBorder="1" applyAlignment="1">
      <alignment vertical="center" wrapText="1"/>
    </xf>
    <xf numFmtId="2" fontId="3" fillId="5" borderId="1" xfId="0" applyNumberFormat="1" applyFont="1" applyFill="1" applyBorder="1" applyAlignment="1">
      <alignment vertical="center" wrapText="1"/>
    </xf>
    <xf numFmtId="170" fontId="4" fillId="5" borderId="1" xfId="0" applyNumberFormat="1" applyFont="1" applyFill="1" applyBorder="1" applyAlignment="1">
      <alignment vertical="center" wrapText="1"/>
    </xf>
    <xf numFmtId="165" fontId="4" fillId="5" borderId="1" xfId="0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4" fillId="3" borderId="1" xfId="0" applyFont="1" applyFill="1" applyBorder="1" applyAlignment="1">
      <alignment vertical="center" wrapText="1"/>
    </xf>
    <xf numFmtId="165" fontId="3" fillId="3" borderId="1" xfId="0" applyNumberFormat="1" applyFont="1" applyFill="1" applyBorder="1" applyAlignment="1">
      <alignment wrapText="1"/>
    </xf>
    <xf numFmtId="0" fontId="3" fillId="0" borderId="0" xfId="0" applyFont="1" applyBorder="1"/>
    <xf numFmtId="0" fontId="4" fillId="5" borderId="1" xfId="0" applyFont="1" applyFill="1" applyBorder="1" applyAlignment="1">
      <alignment wrapText="1"/>
    </xf>
    <xf numFmtId="165" fontId="4" fillId="5" borderId="1" xfId="2" applyNumberFormat="1" applyFont="1" applyFill="1" applyBorder="1" applyAlignment="1" applyProtection="1">
      <alignment wrapText="1"/>
    </xf>
    <xf numFmtId="2" fontId="4" fillId="5" borderId="1" xfId="0" applyNumberFormat="1" applyFont="1" applyFill="1" applyBorder="1" applyAlignment="1">
      <alignment wrapText="1"/>
    </xf>
    <xf numFmtId="2" fontId="4" fillId="5" borderId="1" xfId="0" applyNumberFormat="1" applyFont="1" applyFill="1" applyBorder="1" applyAlignment="1">
      <alignment vertical="center" wrapText="1"/>
    </xf>
    <xf numFmtId="169" fontId="4" fillId="5" borderId="1" xfId="0" applyNumberFormat="1" applyFont="1" applyFill="1" applyBorder="1"/>
    <xf numFmtId="0" fontId="4" fillId="5" borderId="1" xfId="0" applyFont="1" applyFill="1" applyBorder="1"/>
    <xf numFmtId="2" fontId="4" fillId="3" borderId="1" xfId="0" applyNumberFormat="1" applyFont="1" applyFill="1" applyBorder="1" applyAlignment="1">
      <alignment vertical="center" wrapText="1"/>
    </xf>
    <xf numFmtId="169" fontId="4" fillId="5" borderId="1" xfId="2" applyNumberFormat="1" applyFont="1" applyFill="1" applyBorder="1" applyAlignment="1" applyProtection="1">
      <alignment vertical="center" wrapText="1"/>
    </xf>
    <xf numFmtId="9" fontId="3" fillId="3" borderId="1" xfId="2" applyFont="1" applyFill="1" applyBorder="1" applyAlignment="1" applyProtection="1">
      <alignment vertical="center" wrapText="1"/>
    </xf>
    <xf numFmtId="170" fontId="3" fillId="5" borderId="1" xfId="0" applyNumberFormat="1" applyFont="1" applyFill="1" applyBorder="1" applyAlignment="1">
      <alignment vertical="center" wrapText="1"/>
    </xf>
    <xf numFmtId="169" fontId="3" fillId="5" borderId="1" xfId="0" applyNumberFormat="1" applyFont="1" applyFill="1" applyBorder="1" applyAlignment="1">
      <alignment vertical="center" wrapText="1"/>
    </xf>
    <xf numFmtId="9" fontId="3" fillId="3" borderId="1" xfId="2" applyFont="1" applyFill="1" applyBorder="1" applyAlignment="1" applyProtection="1">
      <alignment wrapText="1"/>
    </xf>
    <xf numFmtId="165" fontId="4" fillId="5" borderId="1" xfId="0" applyNumberFormat="1" applyFont="1" applyFill="1" applyBorder="1" applyAlignment="1">
      <alignment wrapText="1"/>
    </xf>
    <xf numFmtId="9" fontId="3" fillId="3" borderId="1" xfId="2" applyFont="1" applyFill="1" applyBorder="1" applyAlignment="1" applyProtection="1"/>
    <xf numFmtId="165" fontId="3" fillId="3" borderId="1" xfId="0" applyNumberFormat="1" applyFont="1" applyFill="1" applyBorder="1"/>
    <xf numFmtId="2" fontId="3" fillId="3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Border="1"/>
    <xf numFmtId="0" fontId="6" fillId="0" borderId="2" xfId="0" applyFont="1" applyBorder="1"/>
    <xf numFmtId="0" fontId="3" fillId="0" borderId="2" xfId="0" applyFont="1" applyBorder="1"/>
    <xf numFmtId="0" fontId="8" fillId="0" borderId="0" xfId="0" applyFont="1"/>
    <xf numFmtId="4" fontId="8" fillId="0" borderId="0" xfId="0" applyNumberFormat="1" applyFont="1"/>
    <xf numFmtId="3" fontId="8" fillId="0" borderId="0" xfId="0" applyNumberFormat="1" applyFont="1"/>
    <xf numFmtId="0" fontId="7" fillId="0" borderId="0" xfId="2" applyNumberFormat="1" applyBorder="1" applyProtection="1"/>
    <xf numFmtId="0" fontId="3" fillId="0" borderId="0" xfId="0" applyNumberFormat="1" applyFont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895845679910111213144562678910111213141516171819202134567891011121314151617181920212223345678910111213141516171819203456789101112131415161718192034567891011121314151617181920" displayName="Table13895845679910111213144562678910111213141516171819202134567891011121314151617181920212223345678910111213141516171819203456789101112131415161718192034567891011121314151617181920" ref="B8:O78" totalsRowShown="0">
  <autoFilter ref="B8:O78" xr:uid="{00000000-0009-0000-0100-000001000000}"/>
  <tableColumns count="14">
    <tableColumn id="1" xr3:uid="{00000000-0010-0000-0000-000001000000}" name="IB Ticker"/>
    <tableColumn id="2" xr3:uid="{00000000-0010-0000-0000-000002000000}" name="Financial Instrument"/>
    <tableColumn id="3" xr3:uid="{00000000-0010-0000-0000-000003000000}" name="Target Allocation (%)"/>
    <tableColumn id="4" xr3:uid="{00000000-0010-0000-0000-000004000000}" name="Target Value Allocation (USD)"/>
    <tableColumn id="5" xr3:uid="{00000000-0010-0000-0000-000005000000}" name="Last Price"/>
    <tableColumn id="6" xr3:uid="{00000000-0010-0000-0000-000006000000}" name="Target Quantity"/>
    <tableColumn id="7" xr3:uid="{00000000-0010-0000-0000-000007000000}" name="Previous Quantity"/>
    <tableColumn id="8" xr3:uid="{00000000-0010-0000-0000-000008000000}" name="Current Quantity"/>
    <tableColumn id="9" xr3:uid="{00000000-0010-0000-0000-000009000000}" name="Change"/>
    <tableColumn id="10" xr3:uid="{00000000-0010-0000-0000-00000A000000}" name="Current Value Allocation"/>
    <tableColumn id="11" xr3:uid="{00000000-0010-0000-0000-00000B000000}" name="Current Allocation Percentage"/>
    <tableColumn id="12" xr3:uid="{00000000-0010-0000-0000-00000C000000}" name="Comments"/>
    <tableColumn id="13" xr3:uid="{B214323C-209C-4F08-8745-279E158475FA}" name="Column1" dataDxfId="1"/>
    <tableColumn id="14" xr3:uid="{E27D9944-9BF0-4336-B070-5EAB24DC91CB}" name="Column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zoomScale="115" zoomScaleNormal="115" workbookViewId="0">
      <selection activeCell="G28" sqref="G28"/>
    </sheetView>
  </sheetViews>
  <sheetFormatPr defaultColWidth="8.7109375" defaultRowHeight="15" x14ac:dyDescent="0.25"/>
  <cols>
    <col min="1" max="1" width="12.42578125" customWidth="1"/>
    <col min="2" max="2" width="25" customWidth="1"/>
    <col min="3" max="3" width="23.42578125" customWidth="1"/>
    <col min="4" max="4" width="12.140625" customWidth="1"/>
    <col min="5" max="6" width="9.140625" customWidth="1"/>
    <col min="7" max="7" width="13.42578125" customWidth="1"/>
    <col min="8" max="9" width="9.140625" customWidth="1"/>
    <col min="10" max="10" width="14.42578125" customWidth="1"/>
    <col min="11" max="11" width="9.140625" customWidth="1"/>
    <col min="12" max="12" width="8.85546875" customWidth="1"/>
    <col min="13" max="13" width="12.28515625" customWidth="1"/>
  </cols>
  <sheetData>
    <row r="1" spans="1:13" ht="15.75" x14ac:dyDescent="0.25">
      <c r="A1" s="92" t="s">
        <v>0</v>
      </c>
      <c r="B1" s="92" t="s">
        <v>1</v>
      </c>
      <c r="C1" s="92" t="s">
        <v>2</v>
      </c>
      <c r="D1" s="92" t="s">
        <v>3</v>
      </c>
      <c r="I1" s="1"/>
      <c r="J1" s="1"/>
      <c r="K1" s="1"/>
      <c r="L1" s="2"/>
    </row>
    <row r="2" spans="1:13" ht="15.75" x14ac:dyDescent="0.25">
      <c r="A2" s="92">
        <v>781.25</v>
      </c>
      <c r="B2" s="92" t="s">
        <v>42</v>
      </c>
      <c r="C2" s="92">
        <v>25</v>
      </c>
      <c r="D2" s="93">
        <v>5525195.3099999996</v>
      </c>
      <c r="I2" s="1"/>
      <c r="J2" s="3"/>
      <c r="K2" s="1"/>
      <c r="L2" s="2"/>
      <c r="M2">
        <f t="shared" ref="M2:M45" si="0">D2/C2</f>
        <v>221007.8124</v>
      </c>
    </row>
    <row r="3" spans="1:13" ht="15.75" x14ac:dyDescent="0.25">
      <c r="A3" s="92">
        <v>-931.75</v>
      </c>
      <c r="B3" s="92" t="s">
        <v>41</v>
      </c>
      <c r="C3" s="92">
        <v>3</v>
      </c>
      <c r="D3" s="93">
        <v>191180.75</v>
      </c>
      <c r="I3" s="1"/>
      <c r="J3" s="3"/>
      <c r="K3" s="1"/>
      <c r="L3" s="2"/>
      <c r="M3">
        <f t="shared" si="0"/>
        <v>63726.916666666664</v>
      </c>
    </row>
    <row r="4" spans="1:13" ht="15.75" x14ac:dyDescent="0.25">
      <c r="A4" s="92">
        <v>-562.49</v>
      </c>
      <c r="B4" s="92" t="s">
        <v>40</v>
      </c>
      <c r="C4" s="92">
        <v>3</v>
      </c>
      <c r="D4" s="93">
        <v>204937.51</v>
      </c>
      <c r="I4" s="1"/>
      <c r="J4" s="3"/>
      <c r="K4" s="1"/>
      <c r="L4" s="2"/>
      <c r="M4">
        <f t="shared" si="0"/>
        <v>68312.503333333341</v>
      </c>
    </row>
    <row r="5" spans="1:13" ht="15.75" x14ac:dyDescent="0.25">
      <c r="A5" s="93">
        <v>5324.57</v>
      </c>
      <c r="B5" s="92" t="s">
        <v>39</v>
      </c>
      <c r="C5" s="92">
        <v>41</v>
      </c>
      <c r="D5" s="93">
        <v>5623605.8200000003</v>
      </c>
      <c r="I5" s="1"/>
      <c r="J5" s="3"/>
      <c r="K5" s="1"/>
      <c r="L5" s="2"/>
      <c r="M5">
        <f t="shared" si="0"/>
        <v>137161.1175609756</v>
      </c>
    </row>
    <row r="6" spans="1:13" ht="15.75" x14ac:dyDescent="0.25">
      <c r="A6" s="93">
        <v>3781.25</v>
      </c>
      <c r="B6" s="92" t="s">
        <v>38</v>
      </c>
      <c r="C6" s="92">
        <v>44</v>
      </c>
      <c r="D6" s="93">
        <v>5542281.25</v>
      </c>
      <c r="I6" s="1"/>
      <c r="J6" s="3"/>
      <c r="K6" s="1"/>
      <c r="L6" s="2"/>
      <c r="M6">
        <f t="shared" si="0"/>
        <v>125960.9375</v>
      </c>
    </row>
    <row r="7" spans="1:13" ht="15.75" x14ac:dyDescent="0.25">
      <c r="A7" s="93">
        <v>11343.75</v>
      </c>
      <c r="B7" s="92" t="s">
        <v>37</v>
      </c>
      <c r="C7" s="92">
        <v>33</v>
      </c>
      <c r="D7" s="93">
        <v>5579062.5</v>
      </c>
      <c r="I7" s="1"/>
      <c r="J7" s="3"/>
      <c r="K7" s="1"/>
      <c r="L7" s="2"/>
      <c r="M7">
        <f t="shared" si="0"/>
        <v>169062.5</v>
      </c>
    </row>
    <row r="8" spans="1:13" ht="15.75" x14ac:dyDescent="0.25">
      <c r="A8" s="93">
        <v>23098.48</v>
      </c>
      <c r="B8" s="92" t="s">
        <v>36</v>
      </c>
      <c r="C8" s="92">
        <v>27</v>
      </c>
      <c r="D8" s="93">
        <v>5550504.7300000004</v>
      </c>
      <c r="I8" s="1"/>
      <c r="J8" s="3"/>
      <c r="K8" s="1"/>
      <c r="L8" s="2"/>
      <c r="M8">
        <f t="shared" si="0"/>
        <v>205574.24925925929</v>
      </c>
    </row>
    <row r="9" spans="1:13" ht="15.75" x14ac:dyDescent="0.25">
      <c r="A9" s="93">
        <v>2009.84</v>
      </c>
      <c r="B9" s="92" t="s">
        <v>35</v>
      </c>
      <c r="C9" s="92">
        <v>27</v>
      </c>
      <c r="D9" s="93">
        <v>214962.64</v>
      </c>
      <c r="I9" s="1"/>
      <c r="J9" s="3"/>
      <c r="K9" s="1"/>
      <c r="L9" s="2"/>
      <c r="M9">
        <f t="shared" si="0"/>
        <v>7961.5792592592597</v>
      </c>
    </row>
    <row r="10" spans="1:13" ht="15.75" x14ac:dyDescent="0.25">
      <c r="A10" s="93">
        <v>8100.22</v>
      </c>
      <c r="B10" s="92" t="s">
        <v>34</v>
      </c>
      <c r="C10" s="92">
        <v>36</v>
      </c>
      <c r="D10" s="93">
        <v>5545912.7199999997</v>
      </c>
      <c r="F10" s="4"/>
      <c r="I10" s="1"/>
      <c r="J10" s="3"/>
      <c r="K10" s="1"/>
      <c r="L10" s="2"/>
      <c r="M10">
        <f t="shared" si="0"/>
        <v>154053.13111111111</v>
      </c>
    </row>
    <row r="11" spans="1:13" ht="15.75" x14ac:dyDescent="0.25">
      <c r="A11" s="92">
        <v>137.51</v>
      </c>
      <c r="B11" s="92" t="s">
        <v>33</v>
      </c>
      <c r="C11" s="92">
        <v>14</v>
      </c>
      <c r="D11" s="93">
        <v>216619.07</v>
      </c>
      <c r="I11" s="1"/>
      <c r="J11" s="3"/>
      <c r="K11" s="1"/>
      <c r="L11" s="2"/>
      <c r="M11">
        <f t="shared" si="0"/>
        <v>15472.790714285715</v>
      </c>
    </row>
    <row r="12" spans="1:13" ht="15.75" x14ac:dyDescent="0.25">
      <c r="A12" s="93">
        <v>6720.48</v>
      </c>
      <c r="B12" s="92" t="s">
        <v>32</v>
      </c>
      <c r="C12" s="92">
        <v>1</v>
      </c>
      <c r="D12" s="93">
        <v>227560.47</v>
      </c>
      <c r="I12" s="1"/>
      <c r="J12" s="3"/>
      <c r="K12" s="1"/>
      <c r="L12" s="2"/>
      <c r="M12">
        <f t="shared" si="0"/>
        <v>227560.47</v>
      </c>
    </row>
    <row r="13" spans="1:13" ht="15.75" x14ac:dyDescent="0.25">
      <c r="A13" s="93">
        <v>2227.2399999999998</v>
      </c>
      <c r="B13" s="92" t="s">
        <v>31</v>
      </c>
      <c r="C13" s="92">
        <v>2</v>
      </c>
      <c r="D13" s="93">
        <v>214129.24</v>
      </c>
      <c r="I13" s="1"/>
      <c r="J13" s="3"/>
      <c r="K13" s="1"/>
      <c r="L13" s="2"/>
      <c r="M13">
        <f t="shared" si="0"/>
        <v>107064.62</v>
      </c>
    </row>
    <row r="14" spans="1:13" ht="15.75" x14ac:dyDescent="0.25">
      <c r="A14" s="93">
        <v>16000</v>
      </c>
      <c r="B14" s="92" t="s">
        <v>30</v>
      </c>
      <c r="C14" s="92">
        <v>8</v>
      </c>
      <c r="D14" s="93">
        <v>221120</v>
      </c>
      <c r="I14" s="1"/>
      <c r="J14" s="3"/>
      <c r="K14" s="1"/>
      <c r="L14" s="2"/>
      <c r="M14">
        <f t="shared" si="0"/>
        <v>27640</v>
      </c>
    </row>
    <row r="15" spans="1:13" ht="15.75" x14ac:dyDescent="0.25">
      <c r="A15" s="93">
        <v>-1627.52</v>
      </c>
      <c r="B15" s="92" t="s">
        <v>29</v>
      </c>
      <c r="C15" s="92">
        <v>7</v>
      </c>
      <c r="D15" s="93">
        <v>221672.48</v>
      </c>
      <c r="I15" s="1"/>
      <c r="J15" s="3"/>
      <c r="K15" s="1"/>
      <c r="L15" s="2"/>
      <c r="M15">
        <f t="shared" si="0"/>
        <v>31667.497142857144</v>
      </c>
    </row>
    <row r="16" spans="1:13" ht="15.75" x14ac:dyDescent="0.25">
      <c r="A16" s="92">
        <v>-358.26</v>
      </c>
      <c r="B16" s="92" t="s">
        <v>28</v>
      </c>
      <c r="C16" s="92">
        <v>2</v>
      </c>
      <c r="D16" s="93">
        <v>177441.74</v>
      </c>
      <c r="I16" s="1"/>
      <c r="J16" s="3"/>
      <c r="K16" s="1"/>
      <c r="L16" s="2"/>
      <c r="M16">
        <f t="shared" si="0"/>
        <v>88720.87</v>
      </c>
    </row>
    <row r="17" spans="1:13" ht="15.75" x14ac:dyDescent="0.25">
      <c r="A17" s="93">
        <v>-5184.7700000000004</v>
      </c>
      <c r="B17" s="92" t="s">
        <v>27</v>
      </c>
      <c r="C17" s="92">
        <v>14</v>
      </c>
      <c r="D17" s="93">
        <v>3738896.98</v>
      </c>
      <c r="I17" s="1"/>
      <c r="J17" s="3"/>
      <c r="K17" s="1"/>
      <c r="L17" s="2"/>
      <c r="M17">
        <f t="shared" si="0"/>
        <v>267064.07</v>
      </c>
    </row>
    <row r="18" spans="1:13" ht="15.75" x14ac:dyDescent="0.25">
      <c r="A18" s="93">
        <v>3595.61</v>
      </c>
      <c r="B18" s="92" t="s">
        <v>26</v>
      </c>
      <c r="C18" s="92">
        <v>49</v>
      </c>
      <c r="D18" s="93">
        <v>5650166.0099999998</v>
      </c>
      <c r="I18" s="1"/>
      <c r="J18" s="3"/>
      <c r="K18" s="1"/>
      <c r="L18" s="2"/>
      <c r="M18">
        <f t="shared" si="0"/>
        <v>115309.51040816326</v>
      </c>
    </row>
    <row r="19" spans="1:13" ht="15.75" x14ac:dyDescent="0.25">
      <c r="A19" s="93">
        <v>3161.12</v>
      </c>
      <c r="B19" s="92" t="s">
        <v>25</v>
      </c>
      <c r="C19" s="92">
        <v>41</v>
      </c>
      <c r="D19" s="93">
        <v>5604479.9900000002</v>
      </c>
      <c r="I19" s="1"/>
      <c r="J19" s="3"/>
      <c r="K19" s="1"/>
      <c r="L19" s="2"/>
      <c r="M19">
        <f t="shared" si="0"/>
        <v>136694.63390243903</v>
      </c>
    </row>
    <row r="20" spans="1:13" ht="15.75" x14ac:dyDescent="0.25">
      <c r="A20" s="93">
        <v>14746.43</v>
      </c>
      <c r="B20" s="92" t="s">
        <v>24</v>
      </c>
      <c r="C20" s="92">
        <v>31</v>
      </c>
      <c r="D20" s="93">
        <v>5671594.5</v>
      </c>
      <c r="I20" s="1"/>
      <c r="J20" s="3"/>
      <c r="K20" s="1"/>
      <c r="L20" s="2"/>
      <c r="M20">
        <f t="shared" si="0"/>
        <v>182954.66129032258</v>
      </c>
    </row>
    <row r="21" spans="1:13" ht="15.75" x14ac:dyDescent="0.25">
      <c r="A21" s="92">
        <v>548.46</v>
      </c>
      <c r="B21" s="92" t="s">
        <v>23</v>
      </c>
      <c r="C21" s="92">
        <v>4</v>
      </c>
      <c r="D21" s="93">
        <v>197836.46</v>
      </c>
      <c r="I21" s="1"/>
      <c r="J21" s="3"/>
      <c r="K21" s="1"/>
      <c r="L21" s="2"/>
      <c r="M21">
        <f t="shared" si="0"/>
        <v>49459.114999999998</v>
      </c>
    </row>
    <row r="22" spans="1:13" ht="15.75" x14ac:dyDescent="0.25">
      <c r="A22" s="92">
        <v>-0.02</v>
      </c>
      <c r="B22" s="92" t="s">
        <v>22</v>
      </c>
      <c r="C22" s="94">
        <v>4850</v>
      </c>
      <c r="D22" s="93">
        <v>468461.48</v>
      </c>
      <c r="I22" s="1"/>
      <c r="J22" s="3"/>
      <c r="K22" s="1"/>
      <c r="L22" s="2"/>
      <c r="M22">
        <f t="shared" si="0"/>
        <v>96.589995876288654</v>
      </c>
    </row>
    <row r="23" spans="1:13" ht="15.75" x14ac:dyDescent="0.25">
      <c r="A23" s="93">
        <v>1501.97</v>
      </c>
      <c r="B23" s="92" t="s">
        <v>21</v>
      </c>
      <c r="C23" s="94">
        <v>10013</v>
      </c>
      <c r="D23" s="93">
        <v>487132.47</v>
      </c>
      <c r="I23" s="1"/>
      <c r="J23" s="3"/>
      <c r="K23" s="1"/>
      <c r="L23" s="2"/>
      <c r="M23">
        <f t="shared" si="0"/>
        <v>48.650001997403372</v>
      </c>
    </row>
    <row r="24" spans="1:13" ht="15.75" x14ac:dyDescent="0.25">
      <c r="A24" s="92">
        <v>0.02</v>
      </c>
      <c r="B24" s="92" t="s">
        <v>20</v>
      </c>
      <c r="C24" s="94">
        <v>3366</v>
      </c>
      <c r="D24" s="93">
        <v>482516.12</v>
      </c>
      <c r="I24" s="1"/>
      <c r="J24" s="3"/>
      <c r="K24" s="1"/>
      <c r="L24" s="2"/>
      <c r="M24">
        <f t="shared" si="0"/>
        <v>143.35000594177063</v>
      </c>
    </row>
    <row r="25" spans="1:13" ht="15.75" x14ac:dyDescent="0.25">
      <c r="A25" s="93">
        <v>2359.86</v>
      </c>
      <c r="B25" s="92" t="s">
        <v>19</v>
      </c>
      <c r="C25" s="94">
        <v>1063</v>
      </c>
      <c r="D25" s="93">
        <v>467720</v>
      </c>
      <c r="I25" s="1"/>
      <c r="J25" s="3"/>
      <c r="K25" s="1"/>
      <c r="L25" s="2"/>
      <c r="M25">
        <f t="shared" si="0"/>
        <v>440</v>
      </c>
    </row>
    <row r="26" spans="1:13" ht="15.75" x14ac:dyDescent="0.25">
      <c r="A26" s="93">
        <v>348496.74</v>
      </c>
      <c r="B26" s="92" t="s">
        <v>18</v>
      </c>
      <c r="C26" s="94">
        <v>97618</v>
      </c>
      <c r="D26" s="93">
        <v>31055214.82</v>
      </c>
      <c r="I26" s="1"/>
      <c r="J26" s="3"/>
      <c r="K26" s="1"/>
      <c r="L26" s="2"/>
      <c r="M26">
        <f t="shared" si="0"/>
        <v>318.13000491712592</v>
      </c>
    </row>
    <row r="27" spans="1:13" ht="15.75" x14ac:dyDescent="0.25">
      <c r="A27" s="92">
        <v>0.01</v>
      </c>
      <c r="B27" s="92" t="s">
        <v>17</v>
      </c>
      <c r="C27" s="94">
        <v>6625</v>
      </c>
      <c r="D27" s="93">
        <v>466863.76</v>
      </c>
      <c r="I27" s="1"/>
      <c r="J27" s="3"/>
      <c r="K27" s="1"/>
      <c r="L27" s="2"/>
      <c r="M27">
        <f t="shared" si="0"/>
        <v>70.47000150943397</v>
      </c>
    </row>
    <row r="28" spans="1:13" ht="15.75" x14ac:dyDescent="0.25">
      <c r="A28" s="93">
        <v>2784.24</v>
      </c>
      <c r="B28" s="92" t="s">
        <v>16</v>
      </c>
      <c r="C28" s="94">
        <v>11601</v>
      </c>
      <c r="D28" s="93">
        <v>475641</v>
      </c>
      <c r="I28" s="1"/>
      <c r="J28" s="3"/>
      <c r="K28" s="1"/>
      <c r="L28" s="2"/>
      <c r="M28">
        <f t="shared" si="0"/>
        <v>41</v>
      </c>
    </row>
    <row r="29" spans="1:13" ht="15.75" x14ac:dyDescent="0.25">
      <c r="A29" s="92">
        <v>0</v>
      </c>
      <c r="B29" s="92" t="s">
        <v>15</v>
      </c>
      <c r="C29" s="94">
        <v>11272</v>
      </c>
      <c r="D29" s="93">
        <v>471620.48</v>
      </c>
      <c r="I29" s="1"/>
      <c r="J29" s="3"/>
      <c r="K29" s="1"/>
      <c r="L29" s="2"/>
      <c r="M29">
        <f t="shared" si="0"/>
        <v>41.839999999999996</v>
      </c>
    </row>
    <row r="30" spans="1:13" ht="15.75" x14ac:dyDescent="0.25">
      <c r="A30" s="92">
        <v>0.11</v>
      </c>
      <c r="B30" s="92" t="s">
        <v>14</v>
      </c>
      <c r="C30" s="94">
        <v>91125</v>
      </c>
      <c r="D30" s="93">
        <v>5574253.04</v>
      </c>
      <c r="I30" s="1"/>
      <c r="J30" s="3"/>
      <c r="K30" s="1"/>
      <c r="L30" s="2"/>
      <c r="M30">
        <f>D30/C30</f>
        <v>61.171501124828531</v>
      </c>
    </row>
    <row r="31" spans="1:13" ht="15.75" x14ac:dyDescent="0.25">
      <c r="A31" s="93">
        <v>76828.52</v>
      </c>
      <c r="B31" s="92" t="s">
        <v>13</v>
      </c>
      <c r="C31" s="94">
        <v>307315</v>
      </c>
      <c r="D31" s="93">
        <v>5470206.7699999996</v>
      </c>
      <c r="I31" s="1"/>
      <c r="J31" s="3"/>
      <c r="K31" s="1"/>
      <c r="L31" s="2"/>
      <c r="M31">
        <f t="shared" si="0"/>
        <v>17.79999925158225</v>
      </c>
    </row>
    <row r="32" spans="1:13" ht="15.75" x14ac:dyDescent="0.25">
      <c r="A32" s="92">
        <v>-0.01</v>
      </c>
      <c r="B32" s="92" t="s">
        <v>12</v>
      </c>
      <c r="C32" s="94">
        <v>2934</v>
      </c>
      <c r="D32" s="93">
        <v>476716.31</v>
      </c>
      <c r="I32" s="1"/>
      <c r="J32" s="1"/>
      <c r="K32" s="1"/>
      <c r="L32" s="2"/>
      <c r="M32">
        <f t="shared" si="0"/>
        <v>162.47999659168372</v>
      </c>
    </row>
    <row r="33" spans="1:13" ht="15.75" x14ac:dyDescent="0.25">
      <c r="A33" s="93">
        <v>4022.02</v>
      </c>
      <c r="B33" s="92" t="s">
        <v>11</v>
      </c>
      <c r="C33" s="94">
        <v>2001</v>
      </c>
      <c r="D33" s="93">
        <v>474937.36</v>
      </c>
      <c r="I33" s="1"/>
      <c r="J33" s="3"/>
      <c r="K33" s="1"/>
      <c r="L33" s="2"/>
      <c r="M33">
        <f t="shared" si="0"/>
        <v>237.35000499750123</v>
      </c>
    </row>
    <row r="34" spans="1:13" ht="15.75" x14ac:dyDescent="0.25">
      <c r="A34" s="93">
        <v>5374.08</v>
      </c>
      <c r="B34" s="92" t="s">
        <v>10</v>
      </c>
      <c r="C34" s="94">
        <v>5598</v>
      </c>
      <c r="D34" s="93">
        <v>473031</v>
      </c>
      <c r="I34" s="1"/>
      <c r="J34" s="3"/>
      <c r="K34" s="1"/>
      <c r="L34" s="2"/>
      <c r="M34">
        <f t="shared" si="0"/>
        <v>84.5</v>
      </c>
    </row>
    <row r="35" spans="1:13" ht="15.75" x14ac:dyDescent="0.25">
      <c r="A35" s="92">
        <v>410.23</v>
      </c>
      <c r="B35" s="92" t="s">
        <v>9</v>
      </c>
      <c r="C35" s="94">
        <v>1641</v>
      </c>
      <c r="D35" s="93">
        <v>474331.03</v>
      </c>
      <c r="I35" s="1"/>
      <c r="J35" s="3"/>
      <c r="K35" s="1"/>
      <c r="L35" s="2"/>
      <c r="M35">
        <f t="shared" si="0"/>
        <v>289.04998781230961</v>
      </c>
    </row>
    <row r="36" spans="1:13" ht="15.75" x14ac:dyDescent="0.25">
      <c r="A36" s="93">
        <v>10004.31</v>
      </c>
      <c r="B36" s="92" t="s">
        <v>8</v>
      </c>
      <c r="C36" s="94">
        <v>2017</v>
      </c>
      <c r="D36" s="93">
        <v>484039.65</v>
      </c>
      <c r="I36" s="1"/>
      <c r="J36" s="1"/>
      <c r="K36" s="1"/>
      <c r="L36" s="2"/>
      <c r="M36">
        <f t="shared" si="0"/>
        <v>239.97999504214181</v>
      </c>
    </row>
    <row r="37" spans="1:13" ht="15.75" x14ac:dyDescent="0.25">
      <c r="A37" s="93">
        <v>5940.49</v>
      </c>
      <c r="B37" s="92" t="s">
        <v>7</v>
      </c>
      <c r="C37" s="92">
        <v>896</v>
      </c>
      <c r="D37" s="93">
        <v>476680.97</v>
      </c>
      <c r="I37" s="1"/>
      <c r="J37" s="3"/>
      <c r="K37" s="1"/>
      <c r="L37" s="2"/>
      <c r="M37">
        <f t="shared" si="0"/>
        <v>532.01001116071427</v>
      </c>
    </row>
    <row r="38" spans="1:13" ht="15.75" x14ac:dyDescent="0.25">
      <c r="A38" s="93">
        <v>3937.21</v>
      </c>
      <c r="B38" s="92" t="s">
        <v>6</v>
      </c>
      <c r="C38" s="94">
        <v>2895</v>
      </c>
      <c r="D38" s="93">
        <v>474837.91</v>
      </c>
      <c r="H38" s="1"/>
      <c r="I38" s="1"/>
      <c r="J38" s="3"/>
      <c r="K38" s="1"/>
      <c r="L38" s="2"/>
      <c r="M38">
        <f t="shared" si="0"/>
        <v>164.02000345423141</v>
      </c>
    </row>
    <row r="39" spans="1:13" ht="15.75" x14ac:dyDescent="0.25">
      <c r="A39" s="93">
        <v>16837.080000000002</v>
      </c>
      <c r="B39" s="92" t="s">
        <v>5</v>
      </c>
      <c r="C39" s="94">
        <v>19578</v>
      </c>
      <c r="D39" s="93">
        <v>494344.5</v>
      </c>
      <c r="E39" s="1"/>
      <c r="F39" s="1"/>
      <c r="G39" s="3"/>
      <c r="H39" s="1"/>
      <c r="I39" s="1"/>
      <c r="J39" s="3"/>
      <c r="K39" s="1"/>
      <c r="L39" s="2"/>
      <c r="M39">
        <f t="shared" si="0"/>
        <v>25.25</v>
      </c>
    </row>
    <row r="40" spans="1:13" ht="15.75" x14ac:dyDescent="0.25">
      <c r="A40" s="93">
        <v>49745.74</v>
      </c>
      <c r="B40" s="92" t="s">
        <v>4</v>
      </c>
      <c r="C40" s="94">
        <v>1157300</v>
      </c>
      <c r="D40" s="93">
        <v>3134755.07</v>
      </c>
      <c r="E40" s="1"/>
      <c r="F40" s="1"/>
      <c r="G40" s="3"/>
      <c r="H40" s="1"/>
      <c r="I40" s="1"/>
      <c r="J40" s="3"/>
      <c r="K40" s="1"/>
      <c r="L40" s="2"/>
      <c r="M40">
        <f t="shared" si="0"/>
        <v>2.708679745960425</v>
      </c>
    </row>
    <row r="41" spans="1:13" ht="15.75" x14ac:dyDescent="0.25">
      <c r="A41" s="1"/>
      <c r="C41" s="1"/>
      <c r="D41" s="1"/>
      <c r="E41" s="1"/>
      <c r="F41" s="1"/>
      <c r="G41" s="3"/>
      <c r="H41" s="1"/>
      <c r="I41" s="1"/>
      <c r="J41" s="1"/>
      <c r="K41" s="1"/>
      <c r="L41" s="2"/>
      <c r="M41" t="e">
        <f t="shared" si="0"/>
        <v>#DIV/0!</v>
      </c>
    </row>
    <row r="42" spans="1:13" ht="15.75" x14ac:dyDescent="0.25">
      <c r="A42" s="1"/>
      <c r="C42" s="1"/>
      <c r="D42" s="1"/>
      <c r="E42" s="1"/>
      <c r="F42" s="1"/>
      <c r="G42" s="3"/>
      <c r="H42" s="1"/>
      <c r="I42" s="1"/>
      <c r="J42" s="3"/>
      <c r="K42" s="1"/>
      <c r="L42" s="2"/>
      <c r="M42" t="e">
        <f t="shared" si="0"/>
        <v>#DIV/0!</v>
      </c>
    </row>
    <row r="43" spans="1:13" ht="15.75" x14ac:dyDescent="0.25">
      <c r="A43" s="1"/>
      <c r="C43" s="1"/>
      <c r="D43" s="1"/>
      <c r="E43" s="1"/>
      <c r="F43" s="1"/>
      <c r="G43" s="3"/>
      <c r="H43" s="1"/>
      <c r="I43" s="1"/>
      <c r="J43" s="1"/>
      <c r="K43" s="1"/>
      <c r="L43" s="2"/>
      <c r="M43" t="e">
        <f t="shared" si="0"/>
        <v>#DIV/0!</v>
      </c>
    </row>
    <row r="44" spans="1:13" x14ac:dyDescent="0.25">
      <c r="M44" t="e">
        <f t="shared" si="0"/>
        <v>#DIV/0!</v>
      </c>
    </row>
    <row r="45" spans="1:13" x14ac:dyDescent="0.25">
      <c r="M45" t="e">
        <f t="shared" si="0"/>
        <v>#DIV/0!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86"/>
  <sheetViews>
    <sheetView tabSelected="1" zoomScaleNormal="100" workbookViewId="0">
      <pane xSplit="2" topLeftCell="C1" activePane="topRight" state="frozen"/>
      <selection activeCell="A22" sqref="A22"/>
      <selection pane="topRight" activeCell="O4" sqref="O4"/>
    </sheetView>
  </sheetViews>
  <sheetFormatPr defaultColWidth="9.140625" defaultRowHeight="15" x14ac:dyDescent="0.25"/>
  <cols>
    <col min="1" max="2" width="15.140625" style="5" customWidth="1"/>
    <col min="3" max="3" width="29.28515625" style="5" customWidth="1"/>
    <col min="4" max="4" width="14.85546875" style="5" customWidth="1"/>
    <col min="5" max="5" width="27.42578125" style="5" customWidth="1"/>
    <col min="6" max="7" width="13.7109375" style="5" customWidth="1"/>
    <col min="8" max="8" width="16.28515625" style="5" customWidth="1"/>
    <col min="9" max="9" width="15.42578125" style="5" customWidth="1"/>
    <col min="10" max="10" width="13.42578125" customWidth="1"/>
    <col min="11" max="11" width="23.42578125" customWidth="1"/>
    <col min="12" max="12" width="13.42578125" customWidth="1"/>
    <col min="13" max="13" width="22.42578125" style="5" customWidth="1"/>
    <col min="14" max="16" width="10.85546875" style="5" customWidth="1"/>
    <col min="17" max="17" width="11.28515625" style="5" customWidth="1"/>
    <col min="18" max="1022" width="9.140625" style="5"/>
  </cols>
  <sheetData>
    <row r="1" spans="1:17" s="5" customFormat="1" ht="25.5" x14ac:dyDescent="0.2">
      <c r="A1" s="6"/>
      <c r="B1" s="6" t="s">
        <v>43</v>
      </c>
      <c r="C1" s="7">
        <v>44228</v>
      </c>
      <c r="D1" s="8"/>
      <c r="E1" s="9" t="s">
        <v>44</v>
      </c>
      <c r="F1" s="10"/>
      <c r="G1" s="11"/>
      <c r="K1" s="12" t="s">
        <v>45</v>
      </c>
      <c r="L1" s="12" t="s">
        <v>46</v>
      </c>
      <c r="M1" s="13" t="s">
        <v>47</v>
      </c>
    </row>
    <row r="2" spans="1:17" x14ac:dyDescent="0.25">
      <c r="A2" s="6"/>
      <c r="B2" s="6" t="s">
        <v>48</v>
      </c>
      <c r="C2" s="14">
        <v>3.6320000000000001</v>
      </c>
      <c r="D2" s="15"/>
      <c r="E2" s="16">
        <f>SUM(E33,E49,E64,E35,E66)</f>
        <v>102363728.96279609</v>
      </c>
      <c r="F2" s="17"/>
      <c r="G2" s="18"/>
      <c r="H2" s="15"/>
      <c r="I2" s="15"/>
      <c r="J2" s="15"/>
      <c r="K2" s="16">
        <f>SUM(K33,K49,K64,K35,K66:K66)</f>
        <v>102256654.81708217</v>
      </c>
      <c r="L2" s="19">
        <f>SUM(L64,L49,L33,L35,L66)</f>
        <v>0.99999999999999989</v>
      </c>
      <c r="M2" s="20">
        <f>K2/$C$6</f>
        <v>3.6281827272018741</v>
      </c>
      <c r="N2" s="21"/>
    </row>
    <row r="3" spans="1:17" ht="26.25" x14ac:dyDescent="0.25">
      <c r="A3" s="6"/>
      <c r="B3" s="6" t="s">
        <v>49</v>
      </c>
      <c r="C3" s="22">
        <v>28183987</v>
      </c>
      <c r="D3" s="23"/>
      <c r="E3" s="9" t="s">
        <v>50</v>
      </c>
      <c r="F3" s="17"/>
      <c r="H3" s="15"/>
      <c r="I3" s="15"/>
      <c r="J3" s="15"/>
      <c r="K3" s="9" t="s">
        <v>51</v>
      </c>
      <c r="L3" s="15"/>
      <c r="M3" s="13" t="s">
        <v>52</v>
      </c>
      <c r="N3" s="24"/>
    </row>
    <row r="4" spans="1:17" x14ac:dyDescent="0.25">
      <c r="A4" s="6"/>
      <c r="B4" s="6" t="s">
        <v>53</v>
      </c>
      <c r="C4" s="22">
        <v>0</v>
      </c>
      <c r="D4" s="23"/>
      <c r="E4" s="16">
        <f>SUM(E33,E64,E35)</f>
        <v>42992469.308076076</v>
      </c>
      <c r="F4" s="17"/>
      <c r="G4" s="18"/>
      <c r="H4" s="15"/>
      <c r="I4" s="15"/>
      <c r="J4" s="15"/>
      <c r="K4" s="16">
        <f>SUM(K33,K35,K64)</f>
        <v>42957040.776929148</v>
      </c>
      <c r="L4" s="15"/>
      <c r="M4" s="20">
        <f>K4/$C$6</f>
        <v>1.5241647953119317</v>
      </c>
      <c r="N4" s="24"/>
    </row>
    <row r="5" spans="1:17" x14ac:dyDescent="0.25">
      <c r="A5" s="6"/>
      <c r="B5" s="6" t="s">
        <v>54</v>
      </c>
      <c r="C5" s="22">
        <v>0</v>
      </c>
      <c r="D5" s="23"/>
      <c r="E5" s="17"/>
      <c r="F5" s="17"/>
      <c r="G5" s="25">
        <f>SUM(D33,D35,D49,D64,D66:D66)</f>
        <v>0.99999499999999997</v>
      </c>
      <c r="H5" s="15"/>
      <c r="I5" s="15"/>
      <c r="J5" s="15"/>
      <c r="K5" s="15"/>
      <c r="L5" s="15"/>
      <c r="M5" s="15"/>
      <c r="N5" s="24"/>
    </row>
    <row r="6" spans="1:17" x14ac:dyDescent="0.25">
      <c r="A6" s="6"/>
      <c r="B6" s="6" t="s">
        <v>55</v>
      </c>
      <c r="C6" s="22">
        <f>C3+C4-C5</f>
        <v>28183987</v>
      </c>
      <c r="D6" s="23"/>
      <c r="E6" s="17"/>
      <c r="F6" s="17"/>
      <c r="G6" s="18"/>
      <c r="H6" s="15"/>
      <c r="I6" s="15"/>
      <c r="J6" s="15"/>
      <c r="K6" s="15"/>
      <c r="L6" s="15"/>
      <c r="M6" s="15"/>
      <c r="N6" s="24"/>
    </row>
    <row r="7" spans="1:17" x14ac:dyDescent="0.25">
      <c r="A7" s="26"/>
      <c r="B7" s="27"/>
      <c r="C7" s="27"/>
      <c r="D7" s="28"/>
      <c r="E7" s="29"/>
      <c r="F7" s="29"/>
      <c r="G7" s="29"/>
      <c r="H7" s="30"/>
      <c r="I7" s="30"/>
      <c r="J7" s="30"/>
      <c r="K7" s="15"/>
      <c r="L7" s="15"/>
      <c r="M7" s="15"/>
      <c r="N7" s="24"/>
    </row>
    <row r="8" spans="1:17" s="35" customFormat="1" ht="38.25" x14ac:dyDescent="0.2">
      <c r="A8" s="31" t="s">
        <v>56</v>
      </c>
      <c r="B8" s="31" t="s">
        <v>57</v>
      </c>
      <c r="C8" s="32" t="s">
        <v>1</v>
      </c>
      <c r="D8" s="32" t="s">
        <v>58</v>
      </c>
      <c r="E8" s="32" t="s">
        <v>59</v>
      </c>
      <c r="F8" s="32" t="s">
        <v>60</v>
      </c>
      <c r="G8" s="32" t="s">
        <v>61</v>
      </c>
      <c r="H8" s="32" t="s">
        <v>62</v>
      </c>
      <c r="I8" s="32" t="s">
        <v>63</v>
      </c>
      <c r="J8" s="32" t="s">
        <v>64</v>
      </c>
      <c r="K8" s="33" t="s">
        <v>65</v>
      </c>
      <c r="L8" s="33" t="s">
        <v>66</v>
      </c>
      <c r="M8" s="33" t="s">
        <v>67</v>
      </c>
      <c r="N8" s="34" t="s">
        <v>135</v>
      </c>
      <c r="O8" s="35" t="s">
        <v>136</v>
      </c>
      <c r="Q8" s="36"/>
    </row>
    <row r="9" spans="1:17" s="44" customFormat="1" ht="12.75" customHeight="1" x14ac:dyDescent="0.25">
      <c r="A9" s="37" t="s">
        <v>68</v>
      </c>
      <c r="B9" s="37" t="s">
        <v>11</v>
      </c>
      <c r="C9" s="37" t="s">
        <v>69</v>
      </c>
      <c r="D9" s="38">
        <v>0</v>
      </c>
      <c r="E9" s="39">
        <f>'Feb 01'!$D9*$C$6*$C$2</f>
        <v>0</v>
      </c>
      <c r="F9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237.35000499750123</v>
      </c>
      <c r="G9" s="40">
        <f>'Feb 01'!$E9/'Feb 01'!$F9</f>
        <v>0</v>
      </c>
      <c r="H9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2001</v>
      </c>
      <c r="I9" s="37">
        <f>ROUND(Table13895845679910111213144562678910111213141516171819202134567891011121314151617181920212223345678910111213141516171819203456789101112131415161718192034567891011121314151617181920[[#This Row],[Target Quantity]],0)</f>
        <v>0</v>
      </c>
      <c r="J9" s="41">
        <f t="shared" ref="J9:J27" si="0">I9-H9</f>
        <v>-2001</v>
      </c>
      <c r="K9" s="42">
        <f>'Feb 01'!$F9*'Feb 01'!$I9</f>
        <v>0</v>
      </c>
      <c r="L9" s="43">
        <f>'Feb 01'!$K9/$K$2</f>
        <v>0</v>
      </c>
      <c r="M9" s="37"/>
      <c r="O9" s="45"/>
    </row>
    <row r="10" spans="1:17" s="44" customFormat="1" ht="12.75" customHeight="1" x14ac:dyDescent="0.25">
      <c r="A10" s="37" t="s">
        <v>68</v>
      </c>
      <c r="B10" s="37" t="s">
        <v>16</v>
      </c>
      <c r="C10" s="37" t="s">
        <v>70</v>
      </c>
      <c r="D10" s="38">
        <v>4.0829999999999998E-3</v>
      </c>
      <c r="E10" s="39">
        <f>'Feb 01'!$D10*$C$6*$C$2</f>
        <v>417953.195121072</v>
      </c>
      <c r="F10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41</v>
      </c>
      <c r="G10" s="40">
        <f>'Feb 01'!$E10/'Feb 01'!$F10</f>
        <v>10193.980368806635</v>
      </c>
      <c r="H10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11601</v>
      </c>
      <c r="I10" s="37">
        <f>ROUND(Table13895845679910111213144562678910111213141516171819202134567891011121314151617181920212223345678910111213141516171819203456789101112131415161718192034567891011121314151617181920[[#This Row],[Target Quantity]],0)</f>
        <v>10194</v>
      </c>
      <c r="J10" s="41">
        <f t="shared" si="0"/>
        <v>-1407</v>
      </c>
      <c r="K10" s="42">
        <f>'Feb 01'!$F10*'Feb 01'!$I10</f>
        <v>417954</v>
      </c>
      <c r="L10" s="43">
        <f>'Feb 01'!$K10/$K$2</f>
        <v>4.0873036649559944E-3</v>
      </c>
      <c r="M10" s="37"/>
      <c r="O10" s="45"/>
    </row>
    <row r="11" spans="1:17" s="44" customFormat="1" ht="12.75" customHeight="1" x14ac:dyDescent="0.25">
      <c r="A11" s="37" t="s">
        <v>68</v>
      </c>
      <c r="B11" s="37" t="s">
        <v>7</v>
      </c>
      <c r="C11" s="37" t="s">
        <v>71</v>
      </c>
      <c r="D11" s="38">
        <v>4.0829999999999998E-3</v>
      </c>
      <c r="E11" s="39">
        <f>'Feb 01'!$D11*$C$6*$C$2</f>
        <v>417953.195121072</v>
      </c>
      <c r="F11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532.01001116071427</v>
      </c>
      <c r="G11" s="40">
        <f>'Feb 01'!$E11/'Feb 01'!$F11</f>
        <v>785.6115230034892</v>
      </c>
      <c r="H11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896</v>
      </c>
      <c r="I11" s="37">
        <f>ROUND(Table13895845679910111213144562678910111213141516171819202134567891011121314151617181920212223345678910111213141516171819203456789101112131415161718192034567891011121314151617181920[[#This Row],[Target Quantity]],0)</f>
        <v>786</v>
      </c>
      <c r="J11" s="41">
        <f t="shared" si="0"/>
        <v>-110</v>
      </c>
      <c r="K11" s="42">
        <f>'Feb 01'!$F11*'Feb 01'!$I11</f>
        <v>418159.86877232144</v>
      </c>
      <c r="L11" s="43">
        <f>'Feb 01'!$K11/$K$2</f>
        <v>4.0893169204520765E-3</v>
      </c>
      <c r="M11" s="37"/>
      <c r="O11" s="46"/>
    </row>
    <row r="12" spans="1:17" s="44" customFormat="1" ht="12.75" customHeight="1" x14ac:dyDescent="0.25">
      <c r="A12" s="37" t="s">
        <v>68</v>
      </c>
      <c r="B12" s="37" t="s">
        <v>17</v>
      </c>
      <c r="C12" s="37" t="s">
        <v>72</v>
      </c>
      <c r="D12" s="38">
        <v>4.0829999999999998E-3</v>
      </c>
      <c r="E12" s="39">
        <f>'Feb 01'!$D12*$C$6*$C$2</f>
        <v>417953.195121072</v>
      </c>
      <c r="F12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70.47000150943397</v>
      </c>
      <c r="G12" s="40">
        <f>'Feb 01'!$E12/'Feb 01'!$F12</f>
        <v>5930.9377915242376</v>
      </c>
      <c r="H12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6625</v>
      </c>
      <c r="I12" s="37">
        <f>ROUND(Table13895845679910111213144562678910111213141516171819202134567891011121314151617181920212223345678910111213141516171819203456789101112131415161718192034567891011121314151617181920[[#This Row],[Target Quantity]],0)</f>
        <v>5931</v>
      </c>
      <c r="J12" s="41">
        <f t="shared" si="0"/>
        <v>-694</v>
      </c>
      <c r="K12" s="42">
        <f>'Feb 01'!$F12*'Feb 01'!$I12</f>
        <v>417957.57895245287</v>
      </c>
      <c r="L12" s="43">
        <f>'Feb 01'!$K12/$K$2</f>
        <v>4.0873386646580606E-3</v>
      </c>
      <c r="M12" s="37"/>
      <c r="O12" s="45"/>
    </row>
    <row r="13" spans="1:17" s="44" customFormat="1" ht="12.75" customHeight="1" x14ac:dyDescent="0.25">
      <c r="A13" s="37" t="s">
        <v>68</v>
      </c>
      <c r="B13" s="37" t="s">
        <v>9</v>
      </c>
      <c r="C13" s="37" t="s">
        <v>73</v>
      </c>
      <c r="D13" s="38">
        <v>4.0829999999999998E-3</v>
      </c>
      <c r="E13" s="39">
        <f>'Feb 01'!$D13*$C$6*$C$2</f>
        <v>417953.195121072</v>
      </c>
      <c r="F13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289.04998781230961</v>
      </c>
      <c r="G13" s="40">
        <f>'Feb 01'!$E13/'Feb 01'!$F13</f>
        <v>1445.954723210242</v>
      </c>
      <c r="H13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1641</v>
      </c>
      <c r="I13" s="37">
        <f>ROUND(Table13895845679910111213144562678910111213141516171819202134567891011121314151617181920212223345678910111213141516171819203456789101112131415161718192034567891011121314151617181920[[#This Row],[Target Quantity]],0)</f>
        <v>1446</v>
      </c>
      <c r="J13" s="41">
        <f t="shared" si="0"/>
        <v>-195</v>
      </c>
      <c r="K13" s="42">
        <f>'Feb 01'!$F13*'Feb 01'!$I13</f>
        <v>417966.28237659967</v>
      </c>
      <c r="L13" s="43">
        <f>'Feb 01'!$K13/$K$2</f>
        <v>4.0874237781811104E-3</v>
      </c>
      <c r="M13" s="37"/>
      <c r="O13" s="45"/>
    </row>
    <row r="14" spans="1:17" s="44" customFormat="1" ht="12.75" customHeight="1" x14ac:dyDescent="0.25">
      <c r="A14" s="37" t="s">
        <v>68</v>
      </c>
      <c r="B14" s="37" t="s">
        <v>6</v>
      </c>
      <c r="C14" s="37" t="s">
        <v>74</v>
      </c>
      <c r="D14" s="38">
        <v>4.0829999999999998E-3</v>
      </c>
      <c r="E14" s="39">
        <f>'Feb 01'!$D14*$C$6*$C$2</f>
        <v>417953.195121072</v>
      </c>
      <c r="F14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164.02000345423141</v>
      </c>
      <c r="G14" s="40">
        <f>'Feb 01'!$E14/'Feb 01'!$F14</f>
        <v>2548.1842843497975</v>
      </c>
      <c r="H14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2895</v>
      </c>
      <c r="I14" s="37">
        <f>ROUND(Table13895845679910111213144562678910111213141516171819202134567891011121314151617181920212223345678910111213141516171819203456789101112131415161718192034567891011121314151617181920[[#This Row],[Target Quantity]],0)</f>
        <v>2548</v>
      </c>
      <c r="J14" s="41">
        <f t="shared" si="0"/>
        <v>-347</v>
      </c>
      <c r="K14" s="42">
        <f>'Feb 01'!$F14*'Feb 01'!$I14</f>
        <v>417922.96880138165</v>
      </c>
      <c r="L14" s="43">
        <f>'Feb 01'!$K14/$K$2</f>
        <v>4.0870002011015013E-3</v>
      </c>
      <c r="M14" s="37"/>
      <c r="O14" s="45"/>
    </row>
    <row r="15" spans="1:17" s="44" customFormat="1" ht="12.75" customHeight="1" x14ac:dyDescent="0.25">
      <c r="A15" s="37" t="s">
        <v>68</v>
      </c>
      <c r="B15" s="37" t="s">
        <v>21</v>
      </c>
      <c r="C15" s="37" t="s">
        <v>75</v>
      </c>
      <c r="D15" s="38">
        <v>0</v>
      </c>
      <c r="E15" s="39">
        <f>'Feb 01'!$D15*$C$6*$C$2</f>
        <v>0</v>
      </c>
      <c r="F15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48.650001997403372</v>
      </c>
      <c r="G15" s="40">
        <f>'Feb 01'!$E15/'Feb 01'!$F15</f>
        <v>0</v>
      </c>
      <c r="H15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10013</v>
      </c>
      <c r="I15" s="37">
        <f>ROUND(Table13895845679910111213144562678910111213141516171819202134567891011121314151617181920212223345678910111213141516171819203456789101112131415161718192034567891011121314151617181920[[#This Row],[Target Quantity]],0)</f>
        <v>0</v>
      </c>
      <c r="J15" s="41">
        <f t="shared" si="0"/>
        <v>-10013</v>
      </c>
      <c r="K15" s="42">
        <f>'Feb 01'!$F15*'Feb 01'!$I15</f>
        <v>0</v>
      </c>
      <c r="L15" s="43">
        <f>'Feb 01'!$K15/$K$2</f>
        <v>0</v>
      </c>
      <c r="M15" s="37"/>
      <c r="O15" s="95"/>
    </row>
    <row r="16" spans="1:17" s="44" customFormat="1" ht="12.75" customHeight="1" x14ac:dyDescent="0.25">
      <c r="A16" s="37" t="s">
        <v>68</v>
      </c>
      <c r="B16" s="37" t="s">
        <v>19</v>
      </c>
      <c r="C16" s="37" t="s">
        <v>76</v>
      </c>
      <c r="D16" s="38">
        <v>4.0829999999999998E-3</v>
      </c>
      <c r="E16" s="39">
        <f>'Feb 01'!$D16*$C$6*$C$2</f>
        <v>417953.195121072</v>
      </c>
      <c r="F16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440</v>
      </c>
      <c r="G16" s="40">
        <f>'Feb 01'!$E16/'Feb 01'!$F16</f>
        <v>949.89362527516369</v>
      </c>
      <c r="H16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1063</v>
      </c>
      <c r="I16" s="37">
        <f>ROUND(Table13895845679910111213144562678910111213141516171819202134567891011121314151617181920212223345678910111213141516171819203456789101112131415161718192034567891011121314151617181920[[#This Row],[Target Quantity]],0)</f>
        <v>950</v>
      </c>
      <c r="J16" s="41">
        <f t="shared" si="0"/>
        <v>-113</v>
      </c>
      <c r="K16" s="42">
        <f>'Feb 01'!$F16*'Feb 01'!$I16</f>
        <v>418000</v>
      </c>
      <c r="L16" s="43">
        <f>'Feb 01'!$K16/$K$2</f>
        <v>4.0877535134287643E-3</v>
      </c>
      <c r="M16" s="37"/>
      <c r="O16" s="95"/>
    </row>
    <row r="17" spans="1:15" s="44" customFormat="1" ht="12.75" customHeight="1" x14ac:dyDescent="0.25">
      <c r="A17" s="37" t="s">
        <v>68</v>
      </c>
      <c r="B17" s="37" t="s">
        <v>10</v>
      </c>
      <c r="C17" s="37" t="s">
        <v>77</v>
      </c>
      <c r="D17" s="38">
        <v>4.0829999999999998E-3</v>
      </c>
      <c r="E17" s="39">
        <f>'Feb 01'!$D17*$C$6*$C$2</f>
        <v>417953.195121072</v>
      </c>
      <c r="F17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84.5</v>
      </c>
      <c r="G17" s="40">
        <f>'Feb 01'!$E17/'Feb 01'!$F17</f>
        <v>4946.1916582375388</v>
      </c>
      <c r="H17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5598</v>
      </c>
      <c r="I17" s="37">
        <f>ROUND(Table13895845679910111213144562678910111213141516171819202134567891011121314151617181920212223345678910111213141516171819203456789101112131415161718192034567891011121314151617181920[[#This Row],[Target Quantity]],0)</f>
        <v>4946</v>
      </c>
      <c r="J17" s="41">
        <f t="shared" si="0"/>
        <v>-652</v>
      </c>
      <c r="K17" s="42">
        <f>'Feb 01'!$F17*'Feb 01'!$I17</f>
        <v>417937</v>
      </c>
      <c r="L17" s="43">
        <f>'Feb 01'!$K17/$K$2</f>
        <v>4.0871374166073626E-3</v>
      </c>
      <c r="M17" s="37"/>
      <c r="O17" s="95"/>
    </row>
    <row r="18" spans="1:15" s="44" customFormat="1" ht="12.75" customHeight="1" x14ac:dyDescent="0.25">
      <c r="A18" s="37" t="s">
        <v>68</v>
      </c>
      <c r="B18" s="37" t="s">
        <v>15</v>
      </c>
      <c r="C18" s="37" t="s">
        <v>78</v>
      </c>
      <c r="D18" s="38">
        <v>0</v>
      </c>
      <c r="E18" s="39">
        <f>'Feb 01'!$D18*$C$6*$C$2</f>
        <v>0</v>
      </c>
      <c r="F18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41.839999999999996</v>
      </c>
      <c r="G18" s="40">
        <f>'Feb 01'!$E18/'Feb 01'!$F18</f>
        <v>0</v>
      </c>
      <c r="H18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11272</v>
      </c>
      <c r="I18" s="37">
        <f>ROUND(Table13895845679910111213144562678910111213141516171819202134567891011121314151617181920212223345678910111213141516171819203456789101112131415161718192034567891011121314151617181920[[#This Row],[Target Quantity]],0)</f>
        <v>0</v>
      </c>
      <c r="J18" s="41">
        <f t="shared" si="0"/>
        <v>-11272</v>
      </c>
      <c r="K18" s="42">
        <f>'Feb 01'!$F18*'Feb 01'!$I18</f>
        <v>0</v>
      </c>
      <c r="L18" s="43">
        <f>'Feb 01'!$K18/$K$2</f>
        <v>0</v>
      </c>
      <c r="M18" s="37"/>
      <c r="O18" s="95"/>
    </row>
    <row r="19" spans="1:15" s="44" customFormat="1" ht="12.75" customHeight="1" x14ac:dyDescent="0.25">
      <c r="A19" s="37" t="s">
        <v>68</v>
      </c>
      <c r="B19" s="37" t="s">
        <v>20</v>
      </c>
      <c r="C19" s="37" t="s">
        <v>79</v>
      </c>
      <c r="D19" s="38">
        <v>4.0829999999999998E-3</v>
      </c>
      <c r="E19" s="39">
        <f>'Feb 01'!$D19*$C$6*$C$2</f>
        <v>417953.195121072</v>
      </c>
      <c r="F19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143.35000594177063</v>
      </c>
      <c r="G19" s="40">
        <f>'Feb 01'!$E19/'Feb 01'!$F19</f>
        <v>2915.6133784245976</v>
      </c>
      <c r="H19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3366</v>
      </c>
      <c r="I19" s="37">
        <f>ROUND(Table13895845679910111213144562678910111213141516171819202134567891011121314151617181920212223345678910111213141516171819203456789101112131415161718192034567891011121314151617181920[[#This Row],[Target Quantity]],0)</f>
        <v>2916</v>
      </c>
      <c r="J19" s="41">
        <f t="shared" si="0"/>
        <v>-450</v>
      </c>
      <c r="K19" s="42">
        <f>'Feb 01'!$F19*'Feb 01'!$I19</f>
        <v>418008.61732620315</v>
      </c>
      <c r="L19" s="43">
        <f>'Feb 01'!$K19/$K$2</f>
        <v>4.0878377849729352E-3</v>
      </c>
      <c r="M19" s="37"/>
      <c r="O19" s="95"/>
    </row>
    <row r="20" spans="1:15" s="44" customFormat="1" ht="12.75" customHeight="1" x14ac:dyDescent="0.25">
      <c r="A20" s="37" t="s">
        <v>68</v>
      </c>
      <c r="B20" s="37" t="s">
        <v>5</v>
      </c>
      <c r="C20" s="37" t="s">
        <v>80</v>
      </c>
      <c r="D20" s="38">
        <v>4.0829999999999998E-3</v>
      </c>
      <c r="E20" s="39">
        <f>'Feb 01'!$D20*$C$6*$C$2</f>
        <v>417953.195121072</v>
      </c>
      <c r="F20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25.25</v>
      </c>
      <c r="G20" s="40">
        <f>'Feb 01'!$E20/'Feb 01'!$F20</f>
        <v>16552.601786973148</v>
      </c>
      <c r="H20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19578</v>
      </c>
      <c r="I20" s="37">
        <f>ROUND(Table13895845679910111213144562678910111213141516171819202134567891011121314151617181920212223345678910111213141516171819203456789101112131415161718192034567891011121314151617181920[[#This Row],[Target Quantity]],0)</f>
        <v>16553</v>
      </c>
      <c r="J20" s="41">
        <f t="shared" si="0"/>
        <v>-3025</v>
      </c>
      <c r="K20" s="42">
        <f>'Feb 01'!$F20*'Feb 01'!$I20</f>
        <v>417963.25</v>
      </c>
      <c r="L20" s="43">
        <f>'Feb 01'!$K20/$K$2</f>
        <v>4.0873941236162798E-3</v>
      </c>
      <c r="M20" s="37"/>
      <c r="O20" s="95"/>
    </row>
    <row r="21" spans="1:15" s="44" customFormat="1" ht="12.75" customHeight="1" x14ac:dyDescent="0.25">
      <c r="A21" s="37" t="s">
        <v>68</v>
      </c>
      <c r="B21" s="37" t="s">
        <v>22</v>
      </c>
      <c r="C21" s="37" t="s">
        <v>81</v>
      </c>
      <c r="D21" s="38">
        <v>0</v>
      </c>
      <c r="E21" s="39">
        <f>'Feb 01'!$D21*$C$6*$C$2</f>
        <v>0</v>
      </c>
      <c r="F21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96.589995876288654</v>
      </c>
      <c r="G21" s="40">
        <f>'Feb 01'!$E21/'Feb 01'!$F21</f>
        <v>0</v>
      </c>
      <c r="H21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4850</v>
      </c>
      <c r="I21" s="37">
        <f>ROUND(Table13895845679910111213144562678910111213141516171819202134567891011121314151617181920212223345678910111213141516171819203456789101112131415161718192034567891011121314151617181920[[#This Row],[Target Quantity]],0)</f>
        <v>0</v>
      </c>
      <c r="J21" s="41">
        <f t="shared" si="0"/>
        <v>-4850</v>
      </c>
      <c r="K21" s="42">
        <f>'Feb 01'!$F21*'Feb 01'!$I21</f>
        <v>0</v>
      </c>
      <c r="L21" s="43">
        <f>'Feb 01'!$K21/$K$2</f>
        <v>0</v>
      </c>
      <c r="M21" s="37"/>
      <c r="O21" s="95"/>
    </row>
    <row r="22" spans="1:15" s="44" customFormat="1" ht="12.75" customHeight="1" x14ac:dyDescent="0.25">
      <c r="A22" s="37" t="s">
        <v>68</v>
      </c>
      <c r="B22" s="37" t="s">
        <v>12</v>
      </c>
      <c r="C22" s="37" t="s">
        <v>82</v>
      </c>
      <c r="D22" s="38">
        <v>4.0829999999999998E-3</v>
      </c>
      <c r="E22" s="39">
        <f>'Feb 01'!$D22*$C$6*$C$2</f>
        <v>417953.195121072</v>
      </c>
      <c r="F22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162.47999659168372</v>
      </c>
      <c r="G22" s="40">
        <f>'Feb 01'!$E22/'Feb 01'!$F22</f>
        <v>2572.3363114746908</v>
      </c>
      <c r="H22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2934</v>
      </c>
      <c r="I22" s="37">
        <f>ROUND(Table13895845679910111213144562678910111213141516171819202134567891011121314151617181920212223345678910111213141516171819203456789101112131415161718192034567891011121314151617181920[[#This Row],[Target Quantity]],0)</f>
        <v>2572</v>
      </c>
      <c r="J22" s="41">
        <f t="shared" si="0"/>
        <v>-362</v>
      </c>
      <c r="K22" s="42">
        <f>'Feb 01'!$F22*'Feb 01'!$I22</f>
        <v>417898.55123381049</v>
      </c>
      <c r="L22" s="43">
        <f>'Feb 01'!$K22/$K$2</f>
        <v>4.0867614140258357E-3</v>
      </c>
      <c r="M22" s="37"/>
      <c r="O22" s="95"/>
    </row>
    <row r="23" spans="1:15" s="44" customFormat="1" ht="12.75" customHeight="1" x14ac:dyDescent="0.25">
      <c r="A23" s="37" t="s">
        <v>68</v>
      </c>
      <c r="B23" s="37" t="s">
        <v>8</v>
      </c>
      <c r="C23" s="37" t="s">
        <v>83</v>
      </c>
      <c r="D23" s="38">
        <v>0</v>
      </c>
      <c r="E23" s="39">
        <f>'Feb 01'!$D23*$C$6*$C$2</f>
        <v>0</v>
      </c>
      <c r="F23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239.97999504214181</v>
      </c>
      <c r="G23" s="40">
        <f>'Feb 01'!$E23/'Feb 01'!$F23</f>
        <v>0</v>
      </c>
      <c r="H23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2017</v>
      </c>
      <c r="I23" s="37">
        <f>ROUND(Table13895845679910111213144562678910111213141516171819202134567891011121314151617181920212223345678910111213141516171819203456789101112131415161718192034567891011121314151617181920[[#This Row],[Target Quantity]],0)</f>
        <v>0</v>
      </c>
      <c r="J23" s="41">
        <f t="shared" si="0"/>
        <v>-2017</v>
      </c>
      <c r="K23" s="42">
        <f>'Feb 01'!$F23*'Feb 01'!$I23</f>
        <v>0</v>
      </c>
      <c r="L23" s="43">
        <f>'Feb 01'!$K23/$K$2</f>
        <v>0</v>
      </c>
      <c r="M23" s="37"/>
      <c r="O23" s="95"/>
    </row>
    <row r="24" spans="1:15" s="44" customFormat="1" ht="12.75" customHeight="1" x14ac:dyDescent="0.25">
      <c r="A24" s="37" t="s">
        <v>68</v>
      </c>
      <c r="B24" s="37" t="s">
        <v>84</v>
      </c>
      <c r="C24" s="37" t="s">
        <v>85</v>
      </c>
      <c r="D24" s="38">
        <v>4.0829999999999998E-3</v>
      </c>
      <c r="E24" s="39">
        <f>'Feb 01'!$D24*$C$6*$C$2</f>
        <v>417953.195121072</v>
      </c>
      <c r="F24" s="39">
        <v>143.6</v>
      </c>
      <c r="G24" s="40">
        <f>'Feb 01'!$E24/'Feb 01'!$F24</f>
        <v>2910.5375704810031</v>
      </c>
      <c r="H24" s="37">
        <v>0</v>
      </c>
      <c r="I24" s="37">
        <f>ROUND(Table13895845679910111213144562678910111213141516171819202134567891011121314151617181920212223345678910111213141516171819203456789101112131415161718192034567891011121314151617181920[[#This Row],[Target Quantity]],0)</f>
        <v>2911</v>
      </c>
      <c r="J24" s="41">
        <f t="shared" si="0"/>
        <v>2911</v>
      </c>
      <c r="K24" s="42">
        <f>'Feb 01'!$F24*'Feb 01'!$I24</f>
        <v>418019.6</v>
      </c>
      <c r="L24" s="43">
        <f>'Feb 01'!$K24/$K$2</f>
        <v>4.0879451879954221E-3</v>
      </c>
      <c r="M24" s="37"/>
      <c r="O24" s="95"/>
    </row>
    <row r="25" spans="1:15" s="44" customFormat="1" ht="12.75" customHeight="1" x14ac:dyDescent="0.25">
      <c r="A25" s="37" t="s">
        <v>68</v>
      </c>
      <c r="B25" s="37" t="s">
        <v>86</v>
      </c>
      <c r="C25" s="37" t="s">
        <v>87</v>
      </c>
      <c r="D25" s="38">
        <v>4.0829999999999998E-3</v>
      </c>
      <c r="E25" s="39">
        <f>'Feb 01'!$D25*$C$6*$C$2</f>
        <v>417953.195121072</v>
      </c>
      <c r="F25" s="39">
        <v>51.45</v>
      </c>
      <c r="G25" s="40">
        <f>'Feb 01'!$E25/'Feb 01'!$F25</f>
        <v>8123.4828983687457</v>
      </c>
      <c r="H25" s="37">
        <v>0</v>
      </c>
      <c r="I25" s="37">
        <f>ROUND(Table13895845679910111213144562678910111213141516171819202134567891011121314151617181920212223345678910111213141516171819203456789101112131415161718192034567891011121314151617181920[[#This Row],[Target Quantity]],0)</f>
        <v>8123</v>
      </c>
      <c r="J25" s="41">
        <f t="shared" si="0"/>
        <v>8123</v>
      </c>
      <c r="K25" s="42">
        <f>'Feb 01'!$F25*'Feb 01'!$I25</f>
        <v>417928.35000000003</v>
      </c>
      <c r="L25" s="43">
        <f>'Feb 01'!$K25/$K$2</f>
        <v>4.0870528255358531E-3</v>
      </c>
      <c r="M25" s="37"/>
      <c r="O25" s="95"/>
    </row>
    <row r="26" spans="1:15" s="44" customFormat="1" ht="12.75" customHeight="1" x14ac:dyDescent="0.25">
      <c r="A26" s="37" t="s">
        <v>68</v>
      </c>
      <c r="B26" s="37" t="s">
        <v>88</v>
      </c>
      <c r="C26" s="37" t="s">
        <v>89</v>
      </c>
      <c r="D26" s="38">
        <v>4.0829999999999998E-3</v>
      </c>
      <c r="E26" s="39">
        <f>'Feb 01'!$D26*$C$6*$C$2</f>
        <v>417953.195121072</v>
      </c>
      <c r="F26" s="39">
        <v>182.9</v>
      </c>
      <c r="G26" s="40">
        <f>'Feb 01'!$E26/'Feb 01'!$F26</f>
        <v>2285.1459547352215</v>
      </c>
      <c r="H26" s="37">
        <v>0</v>
      </c>
      <c r="I26" s="37">
        <f>ROUND(Table13895845679910111213144562678910111213141516171819202134567891011121314151617181920212223345678910111213141516171819203456789101112131415161718192034567891011121314151617181920[[#This Row],[Target Quantity]],0)</f>
        <v>2285</v>
      </c>
      <c r="J26" s="41">
        <f t="shared" si="0"/>
        <v>2285</v>
      </c>
      <c r="K26" s="42">
        <f>'Feb 01'!$F26*'Feb 01'!$I26</f>
        <v>417926.5</v>
      </c>
      <c r="L26" s="43">
        <f>'Feb 01'!$K26/$K$2</f>
        <v>4.0870347338037953E-3</v>
      </c>
      <c r="M26" s="37"/>
      <c r="O26" s="95"/>
    </row>
    <row r="27" spans="1:15" s="44" customFormat="1" ht="12.75" customHeight="1" x14ac:dyDescent="0.25">
      <c r="A27" s="37" t="s">
        <v>68</v>
      </c>
      <c r="B27" s="37" t="s">
        <v>90</v>
      </c>
      <c r="C27" s="37" t="s">
        <v>91</v>
      </c>
      <c r="D27" s="38">
        <v>4.0829999999999998E-3</v>
      </c>
      <c r="E27" s="39">
        <f>'Feb 01'!$D27*$C$6*$C$2</f>
        <v>417953.195121072</v>
      </c>
      <c r="F27" s="39">
        <v>20.59</v>
      </c>
      <c r="G27" s="40">
        <f>'Feb 01'!$E27/'Feb 01'!$F27</f>
        <v>20298.84386212103</v>
      </c>
      <c r="H27" s="37">
        <v>0</v>
      </c>
      <c r="I27" s="37">
        <f>ROUND(Table13895845679910111213144562678910111213141516171819202134567891011121314151617181920212223345678910111213141516171819203456789101112131415161718192034567891011121314151617181920[[#This Row],[Target Quantity]],0)</f>
        <v>20299</v>
      </c>
      <c r="J27" s="41">
        <f t="shared" si="0"/>
        <v>20299</v>
      </c>
      <c r="K27" s="42">
        <f>'Feb 01'!$F27*'Feb 01'!$I27</f>
        <v>417956.41</v>
      </c>
      <c r="L27" s="43">
        <f>'Feb 01'!$K27/$K$2</f>
        <v>4.0873272331042416E-3</v>
      </c>
      <c r="M27" s="37"/>
      <c r="O27" s="95"/>
    </row>
    <row r="28" spans="1:15" s="44" customFormat="1" ht="12.75" customHeight="1" x14ac:dyDescent="0.25">
      <c r="A28" s="37" t="s">
        <v>68</v>
      </c>
      <c r="B28" s="37" t="s">
        <v>92</v>
      </c>
      <c r="C28" s="37" t="s">
        <v>137</v>
      </c>
      <c r="D28" s="38">
        <v>4.0829999999999998E-3</v>
      </c>
      <c r="E28" s="39">
        <f>'Feb 01'!$D28*$C$6*$C$2</f>
        <v>417953.195121072</v>
      </c>
      <c r="F28" s="39">
        <v>41.61</v>
      </c>
      <c r="G28" s="40">
        <f>'Feb 01'!$E28/'Feb 01'!$F28</f>
        <v>10044.537253570585</v>
      </c>
      <c r="H28" s="37">
        <v>0</v>
      </c>
      <c r="I28" s="37">
        <f>ROUND(Table13895845679910111213144562678910111213141516171819202134567891011121314151617181920212223345678910111213141516171819203456789101112131415161718192034567891011121314151617181920[[#This Row],[Target Quantity]],0)</f>
        <v>10045</v>
      </c>
      <c r="J28" s="41">
        <f t="shared" ref="J28" si="1">I28-H28</f>
        <v>10045</v>
      </c>
      <c r="K28" s="42">
        <f>'Feb 01'!$F28*'Feb 01'!$I28</f>
        <v>417972.45</v>
      </c>
      <c r="L28" s="43">
        <f>'Feb 01'!$K28/$K$2</f>
        <v>4.0874840933108336E-3</v>
      </c>
      <c r="M28" s="37"/>
      <c r="O28" s="95"/>
    </row>
    <row r="29" spans="1:15" s="44" customFormat="1" ht="12.75" customHeight="1" x14ac:dyDescent="0.25">
      <c r="A29" s="37" t="s">
        <v>68</v>
      </c>
      <c r="B29" s="37" t="s">
        <v>18</v>
      </c>
      <c r="C29" s="37" t="s">
        <v>93</v>
      </c>
      <c r="D29" s="38">
        <v>0.23624999999999999</v>
      </c>
      <c r="E29" s="39">
        <f>'Feb 01'!$D29*$C$6*$C$2</f>
        <v>24183551.885220002</v>
      </c>
      <c r="F29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318.13000491712592</v>
      </c>
      <c r="G29" s="40">
        <f>'Feb 01'!$E29/'Feb 01'!$F29</f>
        <v>76017.827653571716</v>
      </c>
      <c r="H29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97618</v>
      </c>
      <c r="I29" s="37">
        <f>ROUND(Table13895845679910111213144562678910111213141516171819202134567891011121314151617181920212223345678910111213141516171819203456789101112131415161718192034567891011121314151617181920[[#This Row],[Target Quantity]],0)</f>
        <v>76018</v>
      </c>
      <c r="J29" s="41">
        <f>I29-H29</f>
        <v>-21600</v>
      </c>
      <c r="K29" s="42">
        <f>'Feb 01'!$F29*'Feb 01'!$I29</f>
        <v>24183606.713790078</v>
      </c>
      <c r="L29" s="43">
        <f>'Feb 01'!$K29/$K$2</f>
        <v>0.23649909883175799</v>
      </c>
      <c r="M29" s="37"/>
      <c r="O29" s="96"/>
    </row>
    <row r="30" spans="1:15" s="44" customFormat="1" ht="12.75" customHeight="1" x14ac:dyDescent="0.25">
      <c r="A30" s="37" t="s">
        <v>68</v>
      </c>
      <c r="B30" s="37" t="s">
        <v>94</v>
      </c>
      <c r="C30" s="37" t="s">
        <v>93</v>
      </c>
      <c r="D30" s="38">
        <v>2.6249999999999999E-2</v>
      </c>
      <c r="E30" s="39">
        <f>'Feb 01'!$D30*$C$6*$C$2</f>
        <v>2687061.3205800001</v>
      </c>
      <c r="F30" s="39">
        <v>139.80000000000001</v>
      </c>
      <c r="G30" s="40">
        <f>'Feb 01'!$E30/'Feb 01'!$F30</f>
        <v>19220.753366094421</v>
      </c>
      <c r="H30" s="37">
        <v>0</v>
      </c>
      <c r="I30" s="37">
        <f>ROUND(Table13895845679910111213144562678910111213141516171819202134567891011121314151617181920212223345678910111213141516171819203456789101112131415161718192034567891011121314151617181920[[#This Row],[Target Quantity]],0)</f>
        <v>19221</v>
      </c>
      <c r="J30" s="41">
        <f>I30-H30</f>
        <v>19221</v>
      </c>
      <c r="K30" s="42">
        <f>'Feb 01'!$F30*'Feb 01'!$I30</f>
        <v>2687095.8000000003</v>
      </c>
      <c r="L30" s="43">
        <f>'Feb 01'!$K30/$K$2</f>
        <v>2.6277955256865257E-2</v>
      </c>
      <c r="M30" s="37"/>
      <c r="O30" s="96"/>
    </row>
    <row r="31" spans="1:15" s="44" customFormat="1" ht="12.75" customHeight="1" x14ac:dyDescent="0.25">
      <c r="A31" s="37" t="s">
        <v>68</v>
      </c>
      <c r="B31" s="44" t="s">
        <v>4</v>
      </c>
      <c r="C31" s="37" t="s">
        <v>95</v>
      </c>
      <c r="D31" s="38">
        <v>2.6249999999999999E-2</v>
      </c>
      <c r="E31" s="39">
        <f>'Feb 01'!$D31*$C$6*$C$2</f>
        <v>2687061.3205800001</v>
      </c>
      <c r="F31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2.708679745960425</v>
      </c>
      <c r="G31" s="40">
        <f>'Feb 01'!$E31/'Feb 01'!$F31</f>
        <v>992018.83300797537</v>
      </c>
      <c r="H31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1157300</v>
      </c>
      <c r="I31" s="37">
        <f>ROUND(Table13895845679910111213144562678910111213141516171819202134567891011121314151617181920212223345678910111213141516171819203456789101112131415161718192034567891011121314151617181920[[#This Row],[Target Quantity]],-2)</f>
        <v>992000</v>
      </c>
      <c r="J31" s="41">
        <f>I31-H31</f>
        <v>-165300</v>
      </c>
      <c r="K31" s="42">
        <f>'Feb 01'!$F31*'Feb 01'!$I31</f>
        <v>2687010.3079927415</v>
      </c>
      <c r="L31" s="43">
        <f>'Feb 01'!$K31/$K$2</f>
        <v>2.6277119203628314E-2</v>
      </c>
      <c r="M31" s="37"/>
    </row>
    <row r="32" spans="1:15" s="44" customFormat="1" ht="12.75" customHeight="1" x14ac:dyDescent="0.25">
      <c r="A32" s="37"/>
      <c r="B32" s="37"/>
      <c r="C32" s="37"/>
      <c r="D32" s="38"/>
      <c r="E32" s="39"/>
      <c r="F32" s="39"/>
      <c r="G32" s="40"/>
      <c r="H32" s="37"/>
      <c r="I32" s="37"/>
      <c r="J32" s="47"/>
      <c r="K32" s="39"/>
      <c r="L32" s="48"/>
      <c r="M32" s="37"/>
      <c r="O32" s="95"/>
    </row>
    <row r="33" spans="1:15" s="55" customFormat="1" ht="12.75" customHeight="1" x14ac:dyDescent="0.25">
      <c r="A33" s="49" t="s">
        <v>96</v>
      </c>
      <c r="B33" s="49"/>
      <c r="C33" s="49"/>
      <c r="D33" s="50">
        <f>SUM(D9:D32)</f>
        <v>0.349995</v>
      </c>
      <c r="E33" s="51">
        <f>'Feb 01'!$D33*$C$6*$C$2</f>
        <v>35826972.453196079</v>
      </c>
      <c r="F33" s="52"/>
      <c r="G33" s="52"/>
      <c r="H33" s="49"/>
      <c r="I33" s="49"/>
      <c r="J33" s="53"/>
      <c r="K33" s="51">
        <f>SUM(K9:K32)</f>
        <v>35827284.249245584</v>
      </c>
      <c r="L33" s="54">
        <f>'Feb 01'!$K33/$K$2</f>
        <v>0.35036628484800159</v>
      </c>
      <c r="M33" s="49"/>
      <c r="O33" s="56"/>
    </row>
    <row r="34" spans="1:15" s="44" customFormat="1" ht="12.75" customHeight="1" x14ac:dyDescent="0.25">
      <c r="A34" s="37"/>
      <c r="B34" s="37"/>
      <c r="C34" s="37"/>
      <c r="D34" s="38"/>
      <c r="E34" s="39"/>
      <c r="F34" s="39"/>
      <c r="G34" s="40"/>
      <c r="H34" s="37"/>
      <c r="I34" s="37"/>
      <c r="J34" s="47"/>
      <c r="K34" s="39"/>
      <c r="L34" s="43"/>
      <c r="M34" s="37"/>
      <c r="O34" s="57"/>
    </row>
    <row r="35" spans="1:15" s="45" customFormat="1" ht="12.75" customHeight="1" x14ac:dyDescent="0.25">
      <c r="A35" s="58"/>
      <c r="B35" s="49" t="s">
        <v>13</v>
      </c>
      <c r="C35" s="58" t="s">
        <v>97</v>
      </c>
      <c r="D35" s="59">
        <v>0.05</v>
      </c>
      <c r="E35" s="60">
        <f>'Feb 01'!$D35*$C$6*$C$2</f>
        <v>5118212.0392000005</v>
      </c>
      <c r="F35" s="52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17.79999925158225</v>
      </c>
      <c r="G35" s="61">
        <f>'Feb 01'!$E35/'Feb 01'!$F35</f>
        <v>287540.0142921377</v>
      </c>
      <c r="H35" s="58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307315</v>
      </c>
      <c r="I35" s="58">
        <f>ROUND(Table13895845679910111213144562678910111213141516171819202134567891011121314151617181920212223345678910111213141516171819203456789101112131415161718192034567891011121314151617181920[[#This Row],[Target Quantity]],0)</f>
        <v>287540</v>
      </c>
      <c r="J35" s="62">
        <f>I35-H35</f>
        <v>-19775</v>
      </c>
      <c r="K35" s="63">
        <f>'Feb 01'!$F35*'Feb 01'!$I35</f>
        <v>5118211.7847999604</v>
      </c>
      <c r="L35" s="54">
        <f>'Feb 01'!$K35/$K$2</f>
        <v>5.0052603363130492E-2</v>
      </c>
      <c r="M35" s="49"/>
      <c r="O35" s="64"/>
    </row>
    <row r="36" spans="1:15" s="45" customFormat="1" ht="12.75" customHeight="1" x14ac:dyDescent="0.25">
      <c r="A36" s="37"/>
      <c r="B36" s="37"/>
      <c r="C36" s="37"/>
      <c r="D36" s="38"/>
      <c r="E36" s="39"/>
      <c r="F36" s="39"/>
      <c r="G36" s="40"/>
      <c r="H36" s="37"/>
      <c r="I36" s="37"/>
      <c r="J36" s="47"/>
      <c r="K36" s="42"/>
      <c r="L36" s="43"/>
      <c r="M36" s="37"/>
      <c r="O36" s="64"/>
    </row>
    <row r="37" spans="1:15" s="5" customFormat="1" ht="25.5" x14ac:dyDescent="0.2">
      <c r="A37" s="37" t="s">
        <v>98</v>
      </c>
      <c r="B37" s="65" t="s">
        <v>34</v>
      </c>
      <c r="C37" s="66" t="s">
        <v>99</v>
      </c>
      <c r="D37" s="38">
        <v>5.4376000000000001E-2</v>
      </c>
      <c r="E37" s="39">
        <f>'Feb 01'!$D37*$C$6*$C$2</f>
        <v>5566157.956870785</v>
      </c>
      <c r="F37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154053.13111111111</v>
      </c>
      <c r="G37" s="40">
        <f>'Feb 01'!$E37/'Feb 01'!$F37</f>
        <v>36.13141723718801</v>
      </c>
      <c r="H37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36</v>
      </c>
      <c r="I37" s="37">
        <f>ROUND(Table13895845679910111213144562678910111213141516171819202134567891011121314151617181920212223345678910111213141516171819203456789101112131415161718192034567891011121314151617181920[[#This Row],[Target Quantity]],0)</f>
        <v>36</v>
      </c>
      <c r="J37" s="41">
        <f t="shared" ref="J37:J47" si="2">I37-H37</f>
        <v>0</v>
      </c>
      <c r="K37" s="42">
        <f>'Feb 01'!$F37*'Feb 01'!$I37</f>
        <v>5545912.7199999997</v>
      </c>
      <c r="L37" s="43">
        <f>'Feb 01'!$K37/$K$2</f>
        <v>5.4235225374041324E-2</v>
      </c>
      <c r="M37" s="67"/>
    </row>
    <row r="38" spans="1:15" s="5" customFormat="1" ht="25.5" x14ac:dyDescent="0.2">
      <c r="A38" s="37" t="s">
        <v>98</v>
      </c>
      <c r="B38" s="65" t="s">
        <v>36</v>
      </c>
      <c r="C38" s="66" t="s">
        <v>100</v>
      </c>
      <c r="D38" s="38">
        <v>5.4376000000000001E-2</v>
      </c>
      <c r="E38" s="39">
        <f>'Feb 01'!$D38*$C$6*$C$2</f>
        <v>5566157.956870785</v>
      </c>
      <c r="F38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205574.24925925929</v>
      </c>
      <c r="G38" s="40">
        <f>'Feb 01'!$E38/'Feb 01'!$F38</f>
        <v>27.076143908720024</v>
      </c>
      <c r="H38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27</v>
      </c>
      <c r="I38" s="37">
        <f>ROUND(Table13895845679910111213144562678910111213141516171819202134567891011121314151617181920212223345678910111213141516171819203456789101112131415161718192034567891011121314151617181920[[#This Row],[Target Quantity]],0)</f>
        <v>27</v>
      </c>
      <c r="J38" s="41">
        <f t="shared" si="2"/>
        <v>0</v>
      </c>
      <c r="K38" s="42">
        <f>'Feb 01'!$F38*'Feb 01'!$I38</f>
        <v>5550504.7300000004</v>
      </c>
      <c r="L38" s="43">
        <f>'Feb 01'!$K38/$K$2</f>
        <v>5.4280132084594444E-2</v>
      </c>
      <c r="M38" s="67"/>
    </row>
    <row r="39" spans="1:15" s="5" customFormat="1" ht="25.5" x14ac:dyDescent="0.2">
      <c r="A39" s="37" t="s">
        <v>98</v>
      </c>
      <c r="B39" s="65" t="s">
        <v>37</v>
      </c>
      <c r="C39" s="66" t="s">
        <v>101</v>
      </c>
      <c r="D39" s="38">
        <v>5.4376000000000001E-2</v>
      </c>
      <c r="E39" s="39">
        <f>'Feb 01'!$D39*$C$6*$C$2</f>
        <v>5566157.956870785</v>
      </c>
      <c r="F39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169062.5</v>
      </c>
      <c r="G39" s="40">
        <f>'Feb 01'!$E39/'Feb 01'!$F39</f>
        <v>32.923669985187637</v>
      </c>
      <c r="H39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33</v>
      </c>
      <c r="I39" s="37">
        <f>ROUND(Table13895845679910111213144562678910111213141516171819202134567891011121314151617181920212223345678910111213141516171819203456789101112131415161718192034567891011121314151617181920[[#This Row],[Target Quantity]],0)</f>
        <v>33</v>
      </c>
      <c r="J39" s="41">
        <f t="shared" si="2"/>
        <v>0</v>
      </c>
      <c r="K39" s="42">
        <f>'Feb 01'!$F39*'Feb 01'!$I39</f>
        <v>5579062.5</v>
      </c>
      <c r="L39" s="43">
        <f>'Feb 01'!$K39/$K$2</f>
        <v>5.4559407502425036E-2</v>
      </c>
      <c r="M39" s="67"/>
    </row>
    <row r="40" spans="1:15" s="5" customFormat="1" ht="25.5" x14ac:dyDescent="0.2">
      <c r="A40" s="37" t="s">
        <v>98</v>
      </c>
      <c r="B40" s="65" t="s">
        <v>38</v>
      </c>
      <c r="C40" s="66" t="s">
        <v>102</v>
      </c>
      <c r="D40" s="38">
        <v>5.4376000000000001E-2</v>
      </c>
      <c r="E40" s="39">
        <f>'Feb 01'!$D40*$C$6*$C$2</f>
        <v>5566157.956870785</v>
      </c>
      <c r="F40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125960.9375</v>
      </c>
      <c r="G40" s="40">
        <f>'Feb 01'!$E40/'Feb 01'!$F40</f>
        <v>44.189556439835044</v>
      </c>
      <c r="H40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44</v>
      </c>
      <c r="I40" s="37">
        <f>ROUND(Table13895845679910111213144562678910111213141516171819202134567891011121314151617181920212223345678910111213141516171819203456789101112131415161718192034567891011121314151617181920[[#This Row],[Target Quantity]],0)</f>
        <v>44</v>
      </c>
      <c r="J40" s="41">
        <f t="shared" si="2"/>
        <v>0</v>
      </c>
      <c r="K40" s="42">
        <f>'Feb 01'!$F40*'Feb 01'!$I40</f>
        <v>5542281.25</v>
      </c>
      <c r="L40" s="43">
        <f>'Feb 01'!$K40/$K$2</f>
        <v>5.4199712086358522E-2</v>
      </c>
      <c r="M40" s="67"/>
    </row>
    <row r="41" spans="1:15" s="5" customFormat="1" ht="25.5" x14ac:dyDescent="0.2">
      <c r="A41" s="37" t="s">
        <v>98</v>
      </c>
      <c r="B41" s="65" t="s">
        <v>39</v>
      </c>
      <c r="C41" s="66" t="s">
        <v>103</v>
      </c>
      <c r="D41" s="38">
        <v>5.4376000000000001E-2</v>
      </c>
      <c r="E41" s="39">
        <f>'Feb 01'!$D41*$C$6*$C$2</f>
        <v>5566157.956870785</v>
      </c>
      <c r="F41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137161.1175609756</v>
      </c>
      <c r="G41" s="40">
        <f>'Feb 01'!$E41/'Feb 01'!$F41</f>
        <v>40.581165098748365</v>
      </c>
      <c r="H41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41</v>
      </c>
      <c r="I41" s="37">
        <f>ROUND(Table13895845679910111213144562678910111213141516171819202134567891011121314151617181920212223345678910111213141516171819203456789101112131415161718192034567891011121314151617181920[[#This Row],[Target Quantity]],0)</f>
        <v>41</v>
      </c>
      <c r="J41" s="41">
        <f t="shared" si="2"/>
        <v>0</v>
      </c>
      <c r="K41" s="42">
        <f>'Feb 01'!$F41*'Feb 01'!$I41</f>
        <v>5623605.8199999994</v>
      </c>
      <c r="L41" s="43">
        <f>'Feb 01'!$K41/$K$2</f>
        <v>5.4995010643166135E-2</v>
      </c>
      <c r="M41" s="67"/>
    </row>
    <row r="42" spans="1:15" s="5" customFormat="1" ht="25.5" x14ac:dyDescent="0.2">
      <c r="A42" s="37" t="s">
        <v>98</v>
      </c>
      <c r="B42" s="65" t="s">
        <v>42</v>
      </c>
      <c r="C42" s="66" t="s">
        <v>104</v>
      </c>
      <c r="D42" s="38">
        <v>5.4376000000000001E-2</v>
      </c>
      <c r="E42" s="39">
        <f>'Feb 01'!$D42*$C$6*$C$2</f>
        <v>5566157.956870785</v>
      </c>
      <c r="F42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221007.8124</v>
      </c>
      <c r="G42" s="40">
        <f>'Feb 01'!$E42/'Feb 01'!$F42</f>
        <v>25.185344791326415</v>
      </c>
      <c r="H42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25</v>
      </c>
      <c r="I42" s="37">
        <f>ROUND(Table13895845679910111213144562678910111213141516171819202134567891011121314151617181920212223345678910111213141516171819203456789101112131415161718192034567891011121314151617181920[[#This Row],[Target Quantity]],0)</f>
        <v>25</v>
      </c>
      <c r="J42" s="41">
        <f t="shared" si="2"/>
        <v>0</v>
      </c>
      <c r="K42" s="42">
        <f>'Feb 01'!$F42*'Feb 01'!$I42</f>
        <v>5525195.3099999996</v>
      </c>
      <c r="L42" s="43">
        <f>'Feb 01'!$K42/$K$2</f>
        <v>5.4032623303427341E-2</v>
      </c>
      <c r="M42" s="67"/>
    </row>
    <row r="43" spans="1:15" s="45" customFormat="1" ht="25.5" customHeight="1" x14ac:dyDescent="0.2">
      <c r="A43" s="37" t="s">
        <v>105</v>
      </c>
      <c r="B43" s="37" t="s">
        <v>26</v>
      </c>
      <c r="C43" s="37" t="s">
        <v>106</v>
      </c>
      <c r="D43" s="38">
        <v>5.4376000000000001E-2</v>
      </c>
      <c r="E43" s="39">
        <f>'Feb 01'!$D43*$C$6*$C$2</f>
        <v>5566157.956870785</v>
      </c>
      <c r="F43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115309.51040816326</v>
      </c>
      <c r="G43" s="40">
        <f>'Feb 01'!$E43/'Feb 01'!$F43</f>
        <v>48.271455989780463</v>
      </c>
      <c r="H43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49</v>
      </c>
      <c r="I43" s="37">
        <f>ROUND(Table13895845679910111213144562678910111213141516171819202134567891011121314151617181920212223345678910111213141516171819203456789101112131415161718192034567891011121314151617181920[[#This Row],[Target Quantity]],0)</f>
        <v>48</v>
      </c>
      <c r="J43" s="41">
        <f t="shared" si="2"/>
        <v>-1</v>
      </c>
      <c r="K43" s="42">
        <f>'Feb 01'!$F43*'Feb 01'!$I43</f>
        <v>5534856.4995918367</v>
      </c>
      <c r="L43" s="43">
        <f>'Feb 01'!$K43/$K$2</f>
        <v>5.4127103116101825E-2</v>
      </c>
      <c r="M43" s="68"/>
      <c r="O43" s="5"/>
    </row>
    <row r="44" spans="1:15" s="45" customFormat="1" ht="25.5" x14ac:dyDescent="0.2">
      <c r="A44" s="37" t="s">
        <v>105</v>
      </c>
      <c r="B44" s="37" t="s">
        <v>25</v>
      </c>
      <c r="C44" s="37" t="s">
        <v>107</v>
      </c>
      <c r="D44" s="38">
        <v>5.4376000000000001E-2</v>
      </c>
      <c r="E44" s="39">
        <f>'Feb 01'!$D44*$C$6*$C$2</f>
        <v>5566157.956870785</v>
      </c>
      <c r="F44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136694.63390243903</v>
      </c>
      <c r="G44" s="40">
        <f>'Feb 01'!$E44/'Feb 01'!$F44</f>
        <v>40.719652249432364</v>
      </c>
      <c r="H44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41</v>
      </c>
      <c r="I44" s="37">
        <f>ROUND(Table13895845679910111213144562678910111213141516171819202134567891011121314151617181920212223345678910111213141516171819203456789101112131415161718192034567891011121314151617181920[[#This Row],[Target Quantity]],0)</f>
        <v>41</v>
      </c>
      <c r="J44" s="41">
        <f t="shared" si="2"/>
        <v>0</v>
      </c>
      <c r="K44" s="42">
        <f>'Feb 01'!$F44*'Feb 01'!$I44</f>
        <v>5604479.9900000002</v>
      </c>
      <c r="L44" s="43">
        <f>'Feb 01'!$K44/$K$2</f>
        <v>5.4807973134123701E-2</v>
      </c>
      <c r="M44" s="68"/>
      <c r="O44" s="5"/>
    </row>
    <row r="45" spans="1:15" s="45" customFormat="1" ht="24.95" customHeight="1" x14ac:dyDescent="0.2">
      <c r="A45" s="37" t="s">
        <v>105</v>
      </c>
      <c r="B45" s="37" t="s">
        <v>24</v>
      </c>
      <c r="C45" s="37" t="s">
        <v>108</v>
      </c>
      <c r="D45" s="38">
        <v>5.4376000000000001E-2</v>
      </c>
      <c r="E45" s="39">
        <f>'Feb 01'!$D45*$C$6*$C$2</f>
        <v>5566157.956870785</v>
      </c>
      <c r="F45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182954.66129032258</v>
      </c>
      <c r="G45" s="40">
        <f>'Feb 01'!$E45/'Feb 01'!$F45</f>
        <v>30.423701247152689</v>
      </c>
      <c r="H45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31</v>
      </c>
      <c r="I45" s="37">
        <f>ROUND(Table13895845679910111213144562678910111213141516171819202134567891011121314151617181920212223345678910111213141516171819203456789101112131415161718192034567891011121314151617181920[[#This Row],[Target Quantity]],0)</f>
        <v>30</v>
      </c>
      <c r="J45" s="41">
        <f t="shared" si="2"/>
        <v>-1</v>
      </c>
      <c r="K45" s="42">
        <f>'Feb 01'!$F45*'Feb 01'!$I45</f>
        <v>5488639.8387096776</v>
      </c>
      <c r="L45" s="43">
        <f>'Feb 01'!$K45/$K$2</f>
        <v>5.3675135848398496E-2</v>
      </c>
      <c r="M45" s="68"/>
      <c r="O45" s="5"/>
    </row>
    <row r="46" spans="1:15" s="45" customFormat="1" ht="24.95" customHeight="1" x14ac:dyDescent="0.2">
      <c r="A46" s="37" t="s">
        <v>105</v>
      </c>
      <c r="B46" s="37" t="s">
        <v>27</v>
      </c>
      <c r="C46" s="37" t="s">
        <v>109</v>
      </c>
      <c r="D46" s="38">
        <v>3.6240000000000001E-2</v>
      </c>
      <c r="E46" s="39">
        <f>'Feb 01'!$D46*$C$6*$C$2</f>
        <v>3709680.0860121604</v>
      </c>
      <c r="F46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267064.07</v>
      </c>
      <c r="G46" s="40">
        <f>'Feb 01'!$E46/'Feb 01'!$F46</f>
        <v>13.890599682735909</v>
      </c>
      <c r="H46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14</v>
      </c>
      <c r="I46" s="37">
        <f>ROUND(Table13895845679910111213144562678910111213141516171819202134567891011121314151617181920212223345678910111213141516171819203456789101112131415161718192034567891011121314151617181920[[#This Row],[Target Quantity]],0)</f>
        <v>14</v>
      </c>
      <c r="J46" s="41">
        <f t="shared" si="2"/>
        <v>0</v>
      </c>
      <c r="K46" s="42">
        <f>'Feb 01'!$F46*'Feb 01'!$I46</f>
        <v>3738896.98</v>
      </c>
      <c r="L46" s="43">
        <f>'Feb 01'!$K46/$K$2</f>
        <v>3.6563849919481334E-2</v>
      </c>
      <c r="M46" s="68"/>
      <c r="O46" s="5"/>
    </row>
    <row r="47" spans="1:15" s="45" customFormat="1" ht="24.95" customHeight="1" x14ac:dyDescent="0.2">
      <c r="A47" s="37" t="s">
        <v>110</v>
      </c>
      <c r="B47" s="37" t="s">
        <v>14</v>
      </c>
      <c r="C47" s="37" t="s">
        <v>111</v>
      </c>
      <c r="D47" s="38">
        <v>5.4376000000000001E-2</v>
      </c>
      <c r="E47" s="39">
        <f>'Feb 01'!$D47*$C$6*$C$2</f>
        <v>5566157.956870785</v>
      </c>
      <c r="F47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61.171501124828531</v>
      </c>
      <c r="G47" s="40">
        <f>'Feb 01'!$E47/'Feb 01'!$F47</f>
        <v>90992.665776049937</v>
      </c>
      <c r="H47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91125</v>
      </c>
      <c r="I47" s="37">
        <f>ROUND(Table13895845679910111213144562678910111213141516171819202134567891011121314151617181920212223345678910111213141516171819203456789101112131415161718192034567891011121314151617181920[[#This Row],[Target Quantity]],0)</f>
        <v>90993</v>
      </c>
      <c r="J47" s="41">
        <f t="shared" si="2"/>
        <v>-132</v>
      </c>
      <c r="K47" s="42">
        <f>'Feb 01'!$F47*'Feb 01'!$I47</f>
        <v>5566178.4018515227</v>
      </c>
      <c r="L47" s="43">
        <f>'Feb 01'!$K47/$K$2</f>
        <v>5.4433409852966186E-2</v>
      </c>
      <c r="M47" s="68"/>
      <c r="O47" s="5"/>
    </row>
    <row r="48" spans="1:15" s="70" customFormat="1" ht="12.75" x14ac:dyDescent="0.2">
      <c r="A48" s="37"/>
      <c r="B48" s="66"/>
      <c r="C48" s="66"/>
      <c r="D48" s="38"/>
      <c r="E48" s="69"/>
      <c r="F48" s="39"/>
      <c r="G48" s="40"/>
      <c r="H48" s="37"/>
      <c r="I48" s="37"/>
      <c r="J48" s="47"/>
      <c r="K48" s="39"/>
      <c r="L48" s="48"/>
      <c r="M48" s="67"/>
    </row>
    <row r="49" spans="1:16" s="18" customFormat="1" ht="12.75" x14ac:dyDescent="0.2">
      <c r="A49" s="49" t="s">
        <v>112</v>
      </c>
      <c r="B49" s="71"/>
      <c r="C49" s="71"/>
      <c r="D49" s="59">
        <f>SUBTOTAL(9,D37:D48)</f>
        <v>0.57999999999999996</v>
      </c>
      <c r="E49" s="72">
        <f>'Feb 01'!$D49*$C$6*$C$2</f>
        <v>59371259.654720001</v>
      </c>
      <c r="F49" s="73"/>
      <c r="G49" s="74"/>
      <c r="H49" s="58"/>
      <c r="I49" s="58"/>
      <c r="J49" s="62"/>
      <c r="K49" s="72">
        <f>SUM(K37:K48)</f>
        <v>59299614.040153027</v>
      </c>
      <c r="L49" s="75">
        <f>'Feb 01'!$K49/$K$2</f>
        <v>0.57990958286508421</v>
      </c>
      <c r="M49" s="76"/>
    </row>
    <row r="50" spans="1:16" s="45" customFormat="1" ht="12.75" x14ac:dyDescent="0.25">
      <c r="A50" s="37"/>
      <c r="B50" s="37"/>
      <c r="C50" s="37"/>
      <c r="D50" s="38"/>
      <c r="E50" s="39"/>
      <c r="F50" s="39"/>
      <c r="G50" s="77"/>
      <c r="H50" s="37"/>
      <c r="I50" s="37"/>
      <c r="J50" s="41"/>
      <c r="K50" s="42"/>
      <c r="L50" s="43"/>
      <c r="M50" s="68"/>
    </row>
    <row r="51" spans="1:16" s="45" customFormat="1" ht="25.5" x14ac:dyDescent="0.25">
      <c r="A51" s="37" t="s">
        <v>113</v>
      </c>
      <c r="B51" s="37" t="s">
        <v>23</v>
      </c>
      <c r="C51" s="37" t="s">
        <v>114</v>
      </c>
      <c r="D51" s="38">
        <v>2E-3</v>
      </c>
      <c r="E51" s="39">
        <f>'Feb 01'!$D51*$C$6*$C$2</f>
        <v>204728.48156800002</v>
      </c>
      <c r="F51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49459.114999999998</v>
      </c>
      <c r="G51" s="77">
        <f>'Feb 01'!$E51/'Feb 01'!$F51</f>
        <v>4.1393478546472178</v>
      </c>
      <c r="H51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4</v>
      </c>
      <c r="I51" s="37">
        <f>ROUND(Table13895845679910111213144562678910111213141516171819202134567891011121314151617181920212223345678910111213141516171819203456789101112131415161718192034567891011121314151617181920[[#This Row],[Target Quantity]], 0)</f>
        <v>4</v>
      </c>
      <c r="J51" s="41">
        <f t="shared" ref="J51:J62" si="3">I51-H51</f>
        <v>0</v>
      </c>
      <c r="K51" s="42">
        <f>'Feb 01'!$F51*'Feb 01'!$I51</f>
        <v>197836.46</v>
      </c>
      <c r="L51" s="43">
        <f>'Feb 01'!$K51/$K$2</f>
        <v>1.9347049867208352E-3</v>
      </c>
      <c r="M51" s="68"/>
    </row>
    <row r="52" spans="1:16" s="45" customFormat="1" ht="25.5" x14ac:dyDescent="0.25">
      <c r="A52" s="37" t="s">
        <v>113</v>
      </c>
      <c r="B52" s="37" t="s">
        <v>28</v>
      </c>
      <c r="C52" s="37" t="s">
        <v>115</v>
      </c>
      <c r="D52" s="38">
        <v>2E-3</v>
      </c>
      <c r="E52" s="39">
        <f>'Feb 01'!$D52*$C$6*$C$2</f>
        <v>204728.48156800002</v>
      </c>
      <c r="F52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88720.87</v>
      </c>
      <c r="G52" s="77">
        <f>'Feb 01'!$E52/'Feb 01'!$F52</f>
        <v>2.3075571910870578</v>
      </c>
      <c r="H52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2</v>
      </c>
      <c r="I52" s="37">
        <f>ROUND(Table13895845679910111213144562678910111213141516171819202134567891011121314151617181920212223345678910111213141516171819203456789101112131415161718192034567891011121314151617181920[[#This Row],[Target Quantity]], 0)</f>
        <v>2</v>
      </c>
      <c r="J52" s="41">
        <f t="shared" si="3"/>
        <v>0</v>
      </c>
      <c r="K52" s="42">
        <f>'Feb 01'!$F52*'Feb 01'!$I52</f>
        <v>177441.74</v>
      </c>
      <c r="L52" s="43">
        <f>'Feb 01'!$K52/$K$2</f>
        <v>1.7352586031433332E-3</v>
      </c>
      <c r="M52" s="68"/>
      <c r="P52" s="45" t="s">
        <v>116</v>
      </c>
    </row>
    <row r="53" spans="1:16" s="45" customFormat="1" ht="25.5" x14ac:dyDescent="0.25">
      <c r="A53" s="37" t="s">
        <v>113</v>
      </c>
      <c r="B53" s="37" t="s">
        <v>31</v>
      </c>
      <c r="C53" s="37" t="s">
        <v>117</v>
      </c>
      <c r="D53" s="38">
        <v>2E-3</v>
      </c>
      <c r="E53" s="39">
        <f>'Feb 01'!$D53*$C$6*$C$2</f>
        <v>204728.48156800002</v>
      </c>
      <c r="F53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107064.62</v>
      </c>
      <c r="G53" s="77">
        <f>'Feb 01'!$E53/'Feb 01'!$F53</f>
        <v>1.9121954719308771</v>
      </c>
      <c r="H53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2</v>
      </c>
      <c r="I53" s="37">
        <f>ROUND(Table13895845679910111213144562678910111213141516171819202134567891011121314151617181920212223345678910111213141516171819203456789101112131415161718192034567891011121314151617181920[[#This Row],[Target Quantity]], 0)</f>
        <v>2</v>
      </c>
      <c r="J53" s="41">
        <f t="shared" si="3"/>
        <v>0</v>
      </c>
      <c r="K53" s="42">
        <f>'Feb 01'!$F53*'Feb 01'!$I53</f>
        <v>214129.24</v>
      </c>
      <c r="L53" s="43">
        <f>'Feb 01'!$K53/$K$2</f>
        <v>2.0940372084637107E-3</v>
      </c>
      <c r="M53" s="68"/>
    </row>
    <row r="54" spans="1:16" s="45" customFormat="1" ht="25.5" x14ac:dyDescent="0.25">
      <c r="A54" s="37" t="s">
        <v>113</v>
      </c>
      <c r="B54" s="37" t="s">
        <v>32</v>
      </c>
      <c r="C54" s="37" t="s">
        <v>118</v>
      </c>
      <c r="D54" s="38">
        <v>2E-3</v>
      </c>
      <c r="E54" s="39">
        <f>'Feb 01'!$D54*$C$6*$C$2</f>
        <v>204728.48156800002</v>
      </c>
      <c r="F54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227560.47</v>
      </c>
      <c r="G54" s="77">
        <f>'Feb 01'!$E54/'Feb 01'!$F54</f>
        <v>0.8996662802111457</v>
      </c>
      <c r="H54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1</v>
      </c>
      <c r="I54" s="37">
        <f>ROUND(Table13895845679910111213144562678910111213141516171819202134567891011121314151617181920212223345678910111213141516171819203456789101112131415161718192034567891011121314151617181920[[#This Row],[Target Quantity]], 0)</f>
        <v>1</v>
      </c>
      <c r="J54" s="41">
        <f t="shared" si="3"/>
        <v>0</v>
      </c>
      <c r="K54" s="42">
        <f>'Feb 01'!$F54*'Feb 01'!$I54</f>
        <v>227560.47</v>
      </c>
      <c r="L54" s="43">
        <f>'Feb 01'!$K54/$K$2</f>
        <v>2.2253854324401938E-3</v>
      </c>
      <c r="M54" s="68"/>
    </row>
    <row r="55" spans="1:16" s="45" customFormat="1" ht="25.5" x14ac:dyDescent="0.25">
      <c r="A55" s="37" t="s">
        <v>113</v>
      </c>
      <c r="B55" s="37" t="s">
        <v>33</v>
      </c>
      <c r="C55" s="37" t="s">
        <v>119</v>
      </c>
      <c r="D55" s="38">
        <v>2E-3</v>
      </c>
      <c r="E55" s="39">
        <f>'Feb 01'!$D55*$C$6*$C$2</f>
        <v>204728.48156800002</v>
      </c>
      <c r="F55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15472.790714285715</v>
      </c>
      <c r="G55" s="77">
        <f>'Feb 01'!$E55/'Feb 01'!$F55</f>
        <v>13.23151623701459</v>
      </c>
      <c r="H55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14</v>
      </c>
      <c r="I55" s="37">
        <f>ROUND(Table13895845679910111213144562678910111213141516171819202134567891011121314151617181920212223345678910111213141516171819203456789101112131415161718192034567891011121314151617181920[[#This Row],[Target Quantity]], 0)</f>
        <v>13</v>
      </c>
      <c r="J55" s="41">
        <f t="shared" si="3"/>
        <v>-1</v>
      </c>
      <c r="K55" s="42">
        <f>'Feb 01'!$F55*'Feb 01'!$I55</f>
        <v>201146.27928571429</v>
      </c>
      <c r="L55" s="43">
        <f>'Feb 01'!$K55/$K$2</f>
        <v>1.9670727508691436E-3</v>
      </c>
      <c r="M55" s="68"/>
    </row>
    <row r="56" spans="1:16" s="5" customFormat="1" ht="25.5" x14ac:dyDescent="0.2">
      <c r="A56" s="37" t="s">
        <v>113</v>
      </c>
      <c r="B56" s="66" t="s">
        <v>41</v>
      </c>
      <c r="C56" s="66" t="s">
        <v>120</v>
      </c>
      <c r="D56" s="38">
        <v>0</v>
      </c>
      <c r="E56" s="39">
        <f>'Feb 01'!$D56*$C$6*$C$2</f>
        <v>0</v>
      </c>
      <c r="F56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63726.916666666664</v>
      </c>
      <c r="G56" s="77">
        <f>'Feb 01'!$E56/'Feb 01'!$F56</f>
        <v>0</v>
      </c>
      <c r="H56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3</v>
      </c>
      <c r="I56" s="37">
        <f>ROUND(Table13895845679910111213144562678910111213141516171819202134567891011121314151617181920212223345678910111213141516171819203456789101112131415161718192034567891011121314151617181920[[#This Row],[Target Quantity]], 0)</f>
        <v>0</v>
      </c>
      <c r="J56" s="41">
        <f t="shared" si="3"/>
        <v>-3</v>
      </c>
      <c r="K56" s="42">
        <f>'Feb 01'!$F56*'Feb 01'!$I56</f>
        <v>0</v>
      </c>
      <c r="L56" s="43">
        <f>'Feb 01'!$K56/$K$2</f>
        <v>0</v>
      </c>
      <c r="M56" s="67"/>
    </row>
    <row r="57" spans="1:16" s="45" customFormat="1" ht="25.5" x14ac:dyDescent="0.2">
      <c r="A57" s="37" t="s">
        <v>113</v>
      </c>
      <c r="B57" s="66" t="s">
        <v>30</v>
      </c>
      <c r="C57" s="37" t="s">
        <v>121</v>
      </c>
      <c r="D57" s="38">
        <v>0</v>
      </c>
      <c r="E57" s="39">
        <f>'Feb 01'!$D57*$C$6*$C$2</f>
        <v>0</v>
      </c>
      <c r="F57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27640</v>
      </c>
      <c r="G57" s="77">
        <f>'Feb 01'!$E57/'Feb 01'!$F57</f>
        <v>0</v>
      </c>
      <c r="H57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8</v>
      </c>
      <c r="I57" s="37">
        <f>ROUND(Table13895845679910111213144562678910111213141516171819202134567891011121314151617181920212223345678910111213141516171819203456789101112131415161718192034567891011121314151617181920[[#This Row],[Target Quantity]], 0)</f>
        <v>0</v>
      </c>
      <c r="J57" s="41">
        <f t="shared" si="3"/>
        <v>-8</v>
      </c>
      <c r="K57" s="42">
        <f>'Feb 01'!$F57*'Feb 01'!$I57</f>
        <v>0</v>
      </c>
      <c r="L57" s="43">
        <f>'Feb 01'!$K57/$K$2</f>
        <v>0</v>
      </c>
      <c r="M57" s="68"/>
    </row>
    <row r="58" spans="1:16" s="45" customFormat="1" ht="25.5" x14ac:dyDescent="0.25">
      <c r="A58" s="37" t="s">
        <v>113</v>
      </c>
      <c r="B58" s="37" t="s">
        <v>35</v>
      </c>
      <c r="C58" s="37" t="s">
        <v>122</v>
      </c>
      <c r="D58" s="38">
        <v>2E-3</v>
      </c>
      <c r="E58" s="39">
        <f>'Feb 01'!$D58*$C$6*$C$2</f>
        <v>204728.48156800002</v>
      </c>
      <c r="F58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7961.5792592592597</v>
      </c>
      <c r="G58" s="77">
        <f>'Feb 01'!$E58/'Feb 01'!$F58</f>
        <v>25.714556735700679</v>
      </c>
      <c r="H58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27</v>
      </c>
      <c r="I58" s="37">
        <f>ROUND(Table13895845679910111213144562678910111213141516171819202134567891011121314151617181920212223345678910111213141516171819203456789101112131415161718192034567891011121314151617181920[[#This Row],[Target Quantity]], 0)</f>
        <v>26</v>
      </c>
      <c r="J58" s="41">
        <f t="shared" si="3"/>
        <v>-1</v>
      </c>
      <c r="K58" s="42">
        <f>'Feb 01'!$F58*'Feb 01'!$I58</f>
        <v>207001.06074074077</v>
      </c>
      <c r="L58" s="43">
        <f>'Feb 01'!$K58/$K$2</f>
        <v>2.0243285007809668E-3</v>
      </c>
      <c r="M58" s="68"/>
    </row>
    <row r="59" spans="1:16" s="45" customFormat="1" ht="25.5" x14ac:dyDescent="0.25">
      <c r="A59" s="37" t="s">
        <v>113</v>
      </c>
      <c r="B59" s="37" t="s">
        <v>29</v>
      </c>
      <c r="C59" s="37" t="s">
        <v>123</v>
      </c>
      <c r="D59" s="38">
        <v>2E-3</v>
      </c>
      <c r="E59" s="39">
        <f>'Feb 01'!$D59*$C$6*$C$2</f>
        <v>204728.48156800002</v>
      </c>
      <c r="F59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31667.497142857144</v>
      </c>
      <c r="G59" s="77">
        <f>'Feb 01'!$E59/'Feb 01'!$F59</f>
        <v>6.464940397545063</v>
      </c>
      <c r="H59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7</v>
      </c>
      <c r="I59" s="37">
        <f>ROUND(Table13895845679910111213144562678910111213141516171819202134567891011121314151617181920212223345678910111213141516171819203456789101112131415161718192034567891011121314151617181920[[#This Row],[Target Quantity]], 0)</f>
        <v>6</v>
      </c>
      <c r="J59" s="41">
        <f t="shared" si="3"/>
        <v>-1</v>
      </c>
      <c r="K59" s="42">
        <f>'Feb 01'!$F59*'Feb 01'!$I59</f>
        <v>190004.98285714287</v>
      </c>
      <c r="L59" s="43">
        <f>'Feb 01'!$K59/$K$2</f>
        <v>1.8581185077589902E-3</v>
      </c>
      <c r="M59" s="68"/>
    </row>
    <row r="60" spans="1:16" s="45" customFormat="1" ht="25.5" x14ac:dyDescent="0.25">
      <c r="A60" s="37" t="s">
        <v>113</v>
      </c>
      <c r="B60" s="37" t="s">
        <v>40</v>
      </c>
      <c r="C60" s="37" t="s">
        <v>124</v>
      </c>
      <c r="D60" s="38">
        <v>2E-3</v>
      </c>
      <c r="E60" s="39">
        <f>'Feb 01'!$D60*$C$6*$C$2</f>
        <v>204728.48156800002</v>
      </c>
      <c r="F60" s="39">
        <f>INDEX('TWS data'!M:M,MATCH(Table13895845679910111213144562678910111213141516171819202134567891011121314151617181920212223345678910111213141516171819203456789101112131415161718192034567891011121314151617181920[[#This Row],[IB Ticker]],'TWS data'!B:B,0))</f>
        <v>68312.503333333341</v>
      </c>
      <c r="G60" s="77">
        <f>'Feb 01'!$E60/'Feb 01'!$F60</f>
        <v>2.996940114593956</v>
      </c>
      <c r="H60" s="37">
        <f>INDEX('TWS data'!C:C,MATCH(Table13895845679910111213144562678910111213141516171819202134567891011121314151617181920212223345678910111213141516171819203456789101112131415161718192034567891011121314151617181920[[#This Row],[IB Ticker]],'TWS data'!B:B,0))</f>
        <v>3</v>
      </c>
      <c r="I60" s="37">
        <f>ROUND(Table13895845679910111213144562678910111213141516171819202134567891011121314151617181920212223345678910111213141516171819203456789101112131415161718192034567891011121314151617181920[[#This Row],[Target Quantity]], 0)</f>
        <v>3</v>
      </c>
      <c r="J60" s="41">
        <f t="shared" si="3"/>
        <v>0</v>
      </c>
      <c r="K60" s="42">
        <f>'Feb 01'!$F60*'Feb 01'!$I60</f>
        <v>204937.51</v>
      </c>
      <c r="L60" s="43">
        <f>'Feb 01'!$K60/$K$2</f>
        <v>2.0041483888417286E-3</v>
      </c>
      <c r="M60" s="68"/>
    </row>
    <row r="61" spans="1:16" s="45" customFormat="1" ht="25.5" x14ac:dyDescent="0.25">
      <c r="A61" s="37" t="s">
        <v>113</v>
      </c>
      <c r="B61" s="37" t="s">
        <v>125</v>
      </c>
      <c r="C61" s="37" t="s">
        <v>126</v>
      </c>
      <c r="D61" s="38">
        <v>2E-3</v>
      </c>
      <c r="E61" s="39">
        <f>'Feb 01'!$D61*$C$6*$C$2</f>
        <v>204728.48156800002</v>
      </c>
      <c r="F61" s="39">
        <v>27575</v>
      </c>
      <c r="G61" s="77">
        <f>'Feb 01'!$E61/'Feb 01'!$F61</f>
        <v>7.4244236289392571</v>
      </c>
      <c r="H61" s="37">
        <v>0</v>
      </c>
      <c r="I61" s="37">
        <f>ROUND(Table13895845679910111213144562678910111213141516171819202134567891011121314151617181920212223345678910111213141516171819203456789101112131415161718192034567891011121314151617181920[[#This Row],[Target Quantity]], 0)</f>
        <v>7</v>
      </c>
      <c r="J61" s="41">
        <f t="shared" si="3"/>
        <v>7</v>
      </c>
      <c r="K61" s="42">
        <f>'Feb 01'!$F61*'Feb 01'!$I61</f>
        <v>193025</v>
      </c>
      <c r="L61" s="43">
        <f>'Feb 01'!$K61/$K$2</f>
        <v>1.8876522055731751E-3</v>
      </c>
      <c r="M61" s="68"/>
    </row>
    <row r="62" spans="1:16" s="45" customFormat="1" ht="25.5" x14ac:dyDescent="0.25">
      <c r="A62" s="37" t="s">
        <v>113</v>
      </c>
      <c r="B62" s="37" t="s">
        <v>127</v>
      </c>
      <c r="C62" s="37" t="s">
        <v>128</v>
      </c>
      <c r="D62" s="38">
        <v>2E-3</v>
      </c>
      <c r="E62" s="39">
        <f>'Feb 01'!$D62*$C$6*$C$2</f>
        <v>204728.48156800002</v>
      </c>
      <c r="F62" s="39">
        <v>66154</v>
      </c>
      <c r="G62" s="77">
        <f>'Feb 01'!$E62/'Feb 01'!$F62</f>
        <v>3.0947256638752005</v>
      </c>
      <c r="H62" s="37">
        <v>0</v>
      </c>
      <c r="I62" s="37">
        <f>ROUND(Table13895845679910111213144562678910111213141516171819202134567891011121314151617181920212223345678910111213141516171819203456789101112131415161718192034567891011121314151617181920[[#This Row],[Target Quantity]], 0)</f>
        <v>3</v>
      </c>
      <c r="J62" s="41">
        <f t="shared" si="3"/>
        <v>3</v>
      </c>
      <c r="K62" s="42">
        <f>'Feb 01'!$F62*'Feb 01'!$I62</f>
        <v>198462</v>
      </c>
      <c r="L62" s="43">
        <f>'Feb 01'!$K62/$K$2</f>
        <v>1.9408223391916253E-3</v>
      </c>
      <c r="M62" s="68"/>
    </row>
    <row r="63" spans="1:16" s="45" customFormat="1" ht="12.75" x14ac:dyDescent="0.25">
      <c r="A63" s="37"/>
      <c r="B63" s="37"/>
      <c r="C63" s="37"/>
      <c r="D63" s="38"/>
      <c r="E63" s="39"/>
      <c r="F63" s="39"/>
      <c r="G63" s="40"/>
      <c r="H63" s="37"/>
      <c r="I63" s="37"/>
      <c r="J63" s="68"/>
      <c r="K63" s="42"/>
      <c r="L63" s="43"/>
      <c r="M63" s="68"/>
    </row>
    <row r="64" spans="1:16" s="18" customFormat="1" ht="12.75" x14ac:dyDescent="0.2">
      <c r="A64" s="49" t="s">
        <v>129</v>
      </c>
      <c r="B64" s="71"/>
      <c r="C64" s="71"/>
      <c r="D64" s="78">
        <f>SUM(D51:D63)</f>
        <v>2.0000000000000004E-2</v>
      </c>
      <c r="E64" s="51">
        <f>SUM(E50:E63)</f>
        <v>2047284.8156800002</v>
      </c>
      <c r="F64" s="74"/>
      <c r="G64" s="74"/>
      <c r="H64" s="71"/>
      <c r="I64" s="71"/>
      <c r="J64" s="49"/>
      <c r="K64" s="51">
        <f>SUM(K50:K63)</f>
        <v>2011544.7428835977</v>
      </c>
      <c r="L64" s="54">
        <f>'Feb 01'!$K64/$K$2</f>
        <v>1.9671528923783699E-2</v>
      </c>
      <c r="M64" s="63"/>
    </row>
    <row r="65" spans="1:13" s="5" customFormat="1" ht="12.75" x14ac:dyDescent="0.2">
      <c r="A65" s="37"/>
      <c r="B65" s="66"/>
      <c r="C65" s="66"/>
      <c r="D65" s="79"/>
      <c r="E65" s="39"/>
      <c r="F65" s="39"/>
      <c r="G65" s="40"/>
      <c r="H65" s="66"/>
      <c r="I65" s="66"/>
      <c r="J65" s="37"/>
      <c r="K65" s="37"/>
      <c r="L65" s="43"/>
      <c r="M65" s="67"/>
    </row>
    <row r="66" spans="1:13" s="45" customFormat="1" ht="25.5" x14ac:dyDescent="0.25">
      <c r="A66" s="49" t="s">
        <v>130</v>
      </c>
      <c r="B66" s="58" t="s">
        <v>131</v>
      </c>
      <c r="C66" s="58" t="s">
        <v>132</v>
      </c>
      <c r="D66" s="59">
        <v>0</v>
      </c>
      <c r="E66" s="60">
        <f>'Feb 01'!$D66*$C$6*$C$2</f>
        <v>0</v>
      </c>
      <c r="F66" s="60">
        <v>0</v>
      </c>
      <c r="G66" s="61" t="s">
        <v>133</v>
      </c>
      <c r="H66" s="58">
        <v>0</v>
      </c>
      <c r="I66" s="58">
        <v>0</v>
      </c>
      <c r="J66" s="80">
        <f>I66-H66</f>
        <v>0</v>
      </c>
      <c r="K66" s="60">
        <f>'Feb 01'!$F66*'Feb 01'!$I66</f>
        <v>0</v>
      </c>
      <c r="L66" s="81">
        <f>'Feb 01'!$K66/$K$2</f>
        <v>0</v>
      </c>
      <c r="M66" s="58"/>
    </row>
    <row r="67" spans="1:13" s="5" customFormat="1" ht="12.75" x14ac:dyDescent="0.2">
      <c r="A67" s="37"/>
      <c r="B67" s="66"/>
      <c r="C67" s="66"/>
      <c r="D67" s="79"/>
      <c r="E67" s="39"/>
      <c r="F67" s="39"/>
      <c r="G67" s="40"/>
      <c r="H67" s="66"/>
      <c r="I67" s="66"/>
      <c r="J67" s="37"/>
      <c r="K67" s="37"/>
      <c r="L67" s="43"/>
      <c r="M67" s="67"/>
    </row>
    <row r="68" spans="1:13" s="5" customFormat="1" ht="12.75" x14ac:dyDescent="0.2">
      <c r="A68" s="37"/>
      <c r="B68" s="66"/>
      <c r="C68" s="66"/>
      <c r="D68" s="82"/>
      <c r="E68" s="69"/>
      <c r="F68" s="39"/>
      <c r="G68" s="40"/>
      <c r="H68" s="66"/>
      <c r="I68" s="66"/>
      <c r="J68" s="37"/>
      <c r="K68" s="37"/>
      <c r="L68" s="43"/>
      <c r="M68" s="67"/>
    </row>
    <row r="69" spans="1:13" s="18" customFormat="1" ht="12.75" x14ac:dyDescent="0.2">
      <c r="A69" s="49" t="s">
        <v>134</v>
      </c>
      <c r="B69" s="71"/>
      <c r="C69" s="71"/>
      <c r="D69" s="71"/>
      <c r="E69" s="83"/>
      <c r="F69" s="83"/>
      <c r="G69" s="49"/>
      <c r="H69" s="71"/>
      <c r="I69" s="71"/>
      <c r="J69" s="71"/>
      <c r="K69" s="83">
        <f>SUM(K33,K35,K49,K64,K66:K66)</f>
        <v>102256654.81708217</v>
      </c>
      <c r="L69" s="54">
        <f>'Feb 01'!$K69/$K$2</f>
        <v>1</v>
      </c>
      <c r="M69" s="71"/>
    </row>
    <row r="70" spans="1:13" s="5" customFormat="1" ht="12.75" x14ac:dyDescent="0.2">
      <c r="A70" s="67"/>
      <c r="B70" s="67"/>
      <c r="C70" s="67"/>
      <c r="D70" s="84"/>
      <c r="E70" s="85"/>
      <c r="F70" s="39"/>
      <c r="G70" s="86"/>
      <c r="H70" s="67"/>
      <c r="I70" s="67"/>
      <c r="J70" s="67"/>
      <c r="K70" s="67"/>
      <c r="L70" s="43"/>
      <c r="M70" s="67"/>
    </row>
    <row r="71" spans="1:13" s="5" customFormat="1" ht="12.75" x14ac:dyDescent="0.2">
      <c r="A71" s="67"/>
      <c r="B71" s="67"/>
      <c r="C71" s="67"/>
      <c r="D71" s="84"/>
      <c r="E71" s="85"/>
      <c r="F71" s="39"/>
      <c r="G71" s="86"/>
      <c r="H71" s="67"/>
      <c r="I71" s="67"/>
      <c r="J71" s="67"/>
      <c r="K71" s="67"/>
      <c r="L71" s="43"/>
      <c r="M71" s="67"/>
    </row>
    <row r="72" spans="1:13" s="5" customFormat="1" ht="12.75" x14ac:dyDescent="0.2">
      <c r="A72" s="67"/>
      <c r="B72" s="67"/>
      <c r="C72" s="67"/>
      <c r="D72" s="84"/>
      <c r="E72" s="85"/>
      <c r="F72" s="39"/>
      <c r="G72" s="86"/>
      <c r="H72" s="67"/>
      <c r="I72" s="67"/>
      <c r="J72" s="67"/>
      <c r="K72" s="67"/>
      <c r="L72" s="43"/>
      <c r="M72" s="67"/>
    </row>
    <row r="73" spans="1:13" s="5" customFormat="1" ht="12.75" x14ac:dyDescent="0.2">
      <c r="A73" s="67"/>
      <c r="B73" s="67"/>
      <c r="C73" s="67"/>
      <c r="D73" s="84"/>
      <c r="E73" s="85"/>
      <c r="F73" s="39"/>
      <c r="G73" s="86"/>
      <c r="H73" s="67"/>
      <c r="I73" s="67"/>
      <c r="J73" s="67"/>
      <c r="K73" s="67"/>
      <c r="L73" s="43"/>
      <c r="M73" s="67"/>
    </row>
    <row r="74" spans="1:13" s="5" customFormat="1" ht="12.75" x14ac:dyDescent="0.2">
      <c r="A74" s="67"/>
      <c r="B74" s="67"/>
      <c r="C74" s="67"/>
      <c r="D74" s="84"/>
      <c r="E74" s="85"/>
      <c r="F74" s="39"/>
      <c r="G74" s="86"/>
      <c r="H74" s="67"/>
      <c r="I74" s="67"/>
      <c r="J74" s="67"/>
      <c r="K74" s="67"/>
      <c r="L74" s="43"/>
      <c r="M74" s="67"/>
    </row>
    <row r="75" spans="1:13" s="5" customFormat="1" ht="12.75" x14ac:dyDescent="0.2">
      <c r="A75" s="67"/>
      <c r="B75" s="67"/>
      <c r="C75" s="67"/>
      <c r="D75" s="84"/>
      <c r="E75" s="85"/>
      <c r="F75" s="39"/>
      <c r="G75" s="86"/>
      <c r="H75" s="67"/>
      <c r="I75" s="67"/>
      <c r="J75" s="67"/>
      <c r="K75" s="67"/>
      <c r="L75" s="43"/>
      <c r="M75" s="67"/>
    </row>
    <row r="76" spans="1:13" s="5" customFormat="1" ht="12.75" x14ac:dyDescent="0.2">
      <c r="A76" s="67"/>
      <c r="B76" s="67"/>
      <c r="C76" s="67"/>
      <c r="D76" s="84"/>
      <c r="E76" s="85"/>
      <c r="F76" s="39"/>
      <c r="G76" s="86"/>
      <c r="H76" s="67"/>
      <c r="I76" s="67"/>
      <c r="J76" s="67"/>
      <c r="K76" s="67"/>
      <c r="L76" s="43"/>
      <c r="M76" s="67"/>
    </row>
    <row r="77" spans="1:13" s="5" customFormat="1" ht="12.75" x14ac:dyDescent="0.2">
      <c r="A77" s="67"/>
      <c r="B77" s="67"/>
      <c r="C77" s="67"/>
      <c r="D77" s="84"/>
      <c r="E77" s="85"/>
      <c r="F77" s="39"/>
      <c r="G77" s="86"/>
      <c r="H77" s="67"/>
      <c r="I77" s="67"/>
      <c r="J77" s="67"/>
      <c r="K77" s="67"/>
      <c r="L77" s="43"/>
      <c r="M77" s="67"/>
    </row>
    <row r="78" spans="1:13" s="5" customFormat="1" ht="12.75" x14ac:dyDescent="0.2">
      <c r="A78" s="67"/>
      <c r="B78" s="67"/>
      <c r="C78" s="67"/>
      <c r="D78" s="84"/>
      <c r="E78" s="85"/>
      <c r="F78" s="39"/>
      <c r="G78" s="86"/>
      <c r="H78" s="67"/>
      <c r="I78" s="67"/>
      <c r="J78" s="67"/>
      <c r="K78" s="67"/>
      <c r="L78" s="43"/>
      <c r="M78" s="67"/>
    </row>
    <row r="79" spans="1:13" s="5" customFormat="1" ht="12.75" x14ac:dyDescent="0.2"/>
    <row r="80" spans="1:13" s="5" customFormat="1" ht="12.75" x14ac:dyDescent="0.2"/>
    <row r="82" spans="1:13" s="5" customFormat="1" ht="12.75" x14ac:dyDescent="0.2">
      <c r="A82" s="87"/>
      <c r="B82" s="87"/>
      <c r="E82" s="87"/>
      <c r="F82" s="87"/>
      <c r="G82" s="87"/>
      <c r="H82" s="88"/>
      <c r="M82" s="87"/>
    </row>
    <row r="83" spans="1:13" s="5" customFormat="1" ht="12.75" x14ac:dyDescent="0.2">
      <c r="A83" s="87"/>
      <c r="B83" s="87"/>
      <c r="E83" s="87"/>
      <c r="F83" s="87"/>
      <c r="G83" s="87"/>
      <c r="H83" s="88"/>
      <c r="M83" s="87"/>
    </row>
    <row r="84" spans="1:13" s="5" customFormat="1" ht="12.75" x14ac:dyDescent="0.2">
      <c r="A84" s="89"/>
      <c r="B84" s="89"/>
    </row>
    <row r="85" spans="1:13" s="5" customFormat="1" ht="12.75" x14ac:dyDescent="0.2">
      <c r="A85" s="90"/>
      <c r="B85" s="90"/>
      <c r="E85" s="90"/>
      <c r="F85" s="89"/>
      <c r="G85" s="89"/>
      <c r="M85" s="91"/>
    </row>
    <row r="86" spans="1:13" s="5" customFormat="1" ht="12.75" x14ac:dyDescent="0.2"/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TWS data</vt:lpstr>
      <vt:lpstr>Feb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Golden Horse</dc:creator>
  <dc:description/>
  <cp:lastModifiedBy>Golden Horse FM</cp:lastModifiedBy>
  <cp:revision>189</cp:revision>
  <cp:lastPrinted>2020-12-18T10:19:48Z</cp:lastPrinted>
  <dcterms:created xsi:type="dcterms:W3CDTF">2020-06-30T03:42:56Z</dcterms:created>
  <dcterms:modified xsi:type="dcterms:W3CDTF">2021-02-02T03:56:53Z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f59dd16a-6f38-4c61-8740-1c2c41fd22a2</vt:lpwstr>
  </property>
</Properties>
</file>