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22" documentId="14_{22425657-A5D6-4CBE-8E31-87971804E60D}" xr6:coauthVersionLast="47" xr6:coauthVersionMax="47" xr10:uidLastSave="{DA92D814-0528-4C0A-B4B8-771846FA451E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5" i="3" l="1"/>
  <c r="M11" i="3" l="1"/>
  <c r="M13" i="3" l="1"/>
  <c r="M12" i="3"/>
  <c r="L42" i="3"/>
  <c r="L41" i="3"/>
  <c r="K30" i="3"/>
  <c r="K29" i="3"/>
  <c r="R14" i="3"/>
  <c r="O16" i="3" l="1"/>
  <c r="G54" i="3" l="1"/>
  <c r="F52" i="3"/>
  <c r="F53" i="3"/>
  <c r="F51" i="3"/>
  <c r="F50" i="3"/>
  <c r="F49" i="3"/>
  <c r="F48" i="3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M14" i="3" l="1"/>
  <c r="K32" i="3"/>
  <c r="K31" i="3"/>
  <c r="K34" i="3" s="1"/>
  <c r="C2" i="3"/>
  <c r="N14" i="3" l="1"/>
  <c r="O14" i="3" s="1"/>
  <c r="P14" i="3" s="1"/>
  <c r="M16" i="3"/>
  <c r="N16" i="3" s="1"/>
  <c r="M7" i="3"/>
  <c r="F56" i="3"/>
  <c r="H56" i="3"/>
  <c r="N13" i="3" l="1"/>
  <c r="O13" i="3" s="1"/>
  <c r="P13" i="3" s="1"/>
  <c r="N12" i="3"/>
  <c r="O12" i="3" s="1"/>
  <c r="P12" i="3" s="1"/>
  <c r="N11" i="3"/>
  <c r="F55" i="3"/>
  <c r="O11" i="3" l="1"/>
  <c r="P11" i="3" s="1"/>
  <c r="P17" i="3" s="1"/>
  <c r="N7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<sst xmlns="http://schemas.openxmlformats.org/spreadsheetml/2006/main" count="128" uniqueCount="85">
  <si>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</si>
  <si>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</si>
  <si>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</si>
  <si>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</si>
  <si>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</si>
  <si>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</si>
  <si>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</si>
  <si>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</si>
  <si>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</si>
  <si>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</si>
  <si>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</si>
  <si>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</si>
  <si>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</si>
  <si>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</si>
  <si>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</si>
  <si>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</si>
  <si>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</si>
  <si>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</si>
  <si>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</si>
  <si>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</si>
  <si>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</si>
  <si>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</si>
  <si>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</si>
  <si>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</si>
  <si>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</si>
  <si>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</si>
  <si>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</si>
  <si>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</si>
  <si>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</si>
  <si>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</si>
  <si>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</si>
  <si>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</si>
  <si>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</si>
  <si>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</si>
  <si>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</si>
  <si>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</si>
  <si>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</si>
  <si>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</si>
  <si>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</si>
  <si>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</si>
  <si>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</si>
  <si>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</si>
  <si>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</si>
  <si>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</si>
  <si>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</si>
  <si>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</si>
  <si>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</si>
  <si>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</si>
  <si>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</si>
  <si>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</si>
  <si>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</si>
  <si>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</si>
  <si>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BTS</t>
  </si>
  <si>
    <t>Cash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</si>
  <si>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</si>
  <si>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</si>
  <si>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</si>
  <si>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</si>
  <si>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</si>
  <si>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</si>
  <si>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</si>
  <si>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</si>
  <si>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</si>
  <si>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</si>
  <si>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(Excluding Options)</t>
  </si>
  <si>
    <t>CGF</t>
  </si>
  <si>
    <t>CEG</t>
  </si>
  <si>
    <t>CAH</t>
  </si>
  <si>
    <t>COIL</t>
  </si>
  <si>
    <t>PA</t>
  </si>
  <si>
    <t>KE</t>
  </si>
  <si>
    <t>ZW</t>
  </si>
  <si>
    <t>original</t>
  </si>
  <si>
    <t>in house</t>
  </si>
  <si>
    <t>quant edge</t>
  </si>
  <si>
    <t>match %</t>
  </si>
  <si>
    <t>equity</t>
  </si>
  <si>
    <t>bond</t>
    <phoneticPr fontId="11" type="noConversion"/>
  </si>
  <si>
    <t>commodity</t>
  </si>
  <si>
    <t>cash + option</t>
  </si>
  <si>
    <t>scale factor</t>
  </si>
  <si>
    <t>QE weight</t>
    <phoneticPr fontId="11" type="noConversion"/>
  </si>
  <si>
    <t>option weight</t>
    <phoneticPr fontId="11" type="noConversion"/>
  </si>
  <si>
    <t>bond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</si>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</sst>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  <numFmt numFmtId="175" formatCode="0.000%"/>
    <numFmt numFmtId="176" formatCode="0.0%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44" fontId="2" fillId="0" borderId="0" xfId="0" applyNumberFormat="1" applyFont="1" applyAlignment="1">
      <alignment vertical="center" wrapText="1"/>
    </xf>
    <xf numFmtId="168" fontId="2" fillId="0" borderId="0" xfId="0" applyNumberFormat="1" applyFont="1"/>
    <xf numFmtId="168" fontId="2" fillId="0" borderId="0" xfId="0" applyNumberFormat="1" applyFont="1" applyAlignment="1">
      <alignment vertical="center" wrapText="1"/>
    </xf>
    <xf numFmtId="175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0" fillId="0" borderId="0" xfId="0" applyAlignment="1">
      <alignment vertical="center"/>
    </xf>
    <xf numFmtId="176" fontId="2" fillId="0" borderId="0" xfId="5" applyNumberFormat="1" applyFont="1" applyAlignment="1">
      <alignment vertical="center" wrapText="1"/>
    </xf>
    <xf numFmtId="9" fontId="2" fillId="0" borderId="0" xfId="5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4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4">
    <sortCondition ref="A10:A5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0"/>
  <sheetViews>
    <sheetView tabSelected="1" topLeftCell="A27" zoomScale="89" zoomScaleNormal="89" workbookViewId="0">
      <selection sqref="A1:I6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2" width="15.28515625" style="1" bestFit="1" customWidth="1"/>
    <col min="13" max="13" width="9.140625" style="1"/>
    <col min="14" max="14" width="9.7109375" style="1" customWidth="1"/>
    <col min="15" max="15" width="8.42578125" style="1" customWidth="1"/>
    <col min="16" max="16" width="11.5703125" style="1" customWidth="1"/>
    <col min="17" max="16384" width="9.140625" style="1"/>
  </cols>
  <sheetData>
    <row r="1" spans="1:18" s="23" customFormat="1" ht="12.75" x14ac:dyDescent="0.25">
      <c r="A1" s="59" t="s">
        <v>0</v>
      </c>
      <c r="B1" s="59"/>
      <c r="C1" s="22">
        <v>44865</v>
      </c>
      <c r="E1" s="24"/>
      <c r="F1" s="24"/>
      <c r="H1" s="25"/>
    </row>
    <row r="2" spans="1:18" s="23" customFormat="1" x14ac:dyDescent="0.25">
      <c r="A2" s="59" t="s">
        <v>11</v>
      </c>
      <c r="B2" s="59"/>
      <c r="C2" s="26">
        <f>C8/C7</f>
        <v>0.91025842162256543</v>
      </c>
      <c r="D2"/>
      <c r="E2" s="42"/>
      <c r="F2" s="28"/>
      <c r="H2" s="39"/>
    </row>
    <row r="3" spans="1:18" s="23" customFormat="1" ht="27.75" customHeight="1" x14ac:dyDescent="0.25">
      <c r="A3" s="60" t="s">
        <v>12</v>
      </c>
      <c r="B3" s="60"/>
      <c r="C3" s="32">
        <f>(C8-SUM(H31:H36))/C7</f>
        <v>0.80721022226800765</v>
      </c>
      <c r="D3" s="41"/>
      <c r="E3" s="27"/>
      <c r="F3" s="28"/>
      <c r="H3" s="29"/>
    </row>
    <row r="4" spans="1:18" s="23" customFormat="1" ht="12.75" x14ac:dyDescent="0.25">
      <c r="A4" s="59" t="s">
        <v>9</v>
      </c>
      <c r="B4" s="59"/>
      <c r="C4" s="30">
        <v>33061978</v>
      </c>
      <c r="D4" s="44"/>
      <c r="E4" s="28"/>
      <c r="F4" s="28"/>
      <c r="H4" s="29"/>
    </row>
    <row r="5" spans="1:18" s="23" customFormat="1" ht="12.75" x14ac:dyDescent="0.25">
      <c r="A5" s="59" t="s">
        <v>7</v>
      </c>
      <c r="B5" s="59"/>
      <c r="C5" s="30">
        <v>0</v>
      </c>
      <c r="F5" s="28"/>
      <c r="H5" s="29"/>
    </row>
    <row r="6" spans="1:18" s="23" customFormat="1" ht="12.75" x14ac:dyDescent="0.25">
      <c r="A6" s="59" t="s">
        <v>8</v>
      </c>
      <c r="B6" s="59"/>
      <c r="C6" s="30">
        <v>0</v>
      </c>
      <c r="D6" s="38"/>
      <c r="E6" s="28"/>
      <c r="F6" s="28"/>
      <c r="H6" s="29"/>
    </row>
    <row r="7" spans="1:18" s="23" customFormat="1" ht="12.75" x14ac:dyDescent="0.25">
      <c r="A7" s="59" t="s">
        <v>10</v>
      </c>
      <c r="B7" s="59"/>
      <c r="C7" s="30">
        <f>C4+C5-C6</f>
        <v>33061978</v>
      </c>
      <c r="D7" s="38"/>
      <c r="E7" s="28"/>
      <c r="F7" s="28"/>
      <c r="G7" s="33"/>
      <c r="M7" s="33">
        <f>SUM(M11:M14)</f>
        <v>61.965157837743462</v>
      </c>
      <c r="N7" s="23">
        <f>SUM(N11:N14)</f>
        <v>100.00000000000001</v>
      </c>
    </row>
    <row r="8" spans="1:18" s="23" customFormat="1" ht="27.75" customHeight="1" x14ac:dyDescent="0.25">
      <c r="A8" s="60" t="s">
        <v>6</v>
      </c>
      <c r="B8" s="60"/>
      <c r="C8" s="19" cm="1">
        <f t="array" ref="C8">SUM(ABS(Table132[Target allocation ($)]))</f>
        <v>30094943.909999982</v>
      </c>
      <c r="D8" s="38" t="s">
        <v>64</v>
      </c>
      <c r="E8" s="28"/>
      <c r="F8" s="28"/>
      <c r="H8" s="29"/>
      <c r="J8" s="31"/>
    </row>
    <row r="9" spans="1:18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8" s="2" customFormat="1" ht="25.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  <c r="M10" s="2" t="s">
        <v>72</v>
      </c>
      <c r="N10" s="2" t="s">
        <v>73</v>
      </c>
      <c r="O10" s="2" t="s">
        <v>74</v>
      </c>
      <c r="P10" s="2" t="s">
        <v>75</v>
      </c>
    </row>
    <row r="11" spans="1:18" s="2" customFormat="1" x14ac:dyDescent="0.25">
      <c r="A11" s="13" t="s">
        <v>28</v>
      </c>
      <c r="B11" s="13" t="s">
        <v>16</v>
      </c>
      <c r="C11" s="16">
        <v>394.72</v>
      </c>
      <c r="D11" s="13">
        <v>487</v>
      </c>
      <c r="E11" s="13">
        <v>487</v>
      </c>
      <c r="F11" s="13">
        <f>Table132[[#This Row],[New position]]-Table132[[#This Row],[Old position]]</f>
        <v>0</v>
      </c>
      <c r="G11" s="21">
        <v>0.33300000000000002</v>
      </c>
      <c r="H11" s="16">
        <v>189276.5</v>
      </c>
      <c r="I11" s="45"/>
      <c r="J11"/>
      <c r="K11" s="49"/>
      <c r="L11" s="2" t="s">
        <v>76</v>
      </c>
      <c r="M11" s="51">
        <f>SUM(G11:G30)</f>
        <v>36.995000000000005</v>
      </c>
      <c r="N11" s="2">
        <f>M11*$N$16</f>
        <v>63.548546560598616</v>
      </c>
      <c r="O11" s="2">
        <f>N11*$O$16</f>
        <v>61.140056645951923</v>
      </c>
      <c r="P11" s="52">
        <f>O11/100</f>
        <v>0.61140056645951923</v>
      </c>
    </row>
    <row r="12" spans="1:18" x14ac:dyDescent="0.25">
      <c r="A12" s="13" t="s">
        <v>29</v>
      </c>
      <c r="B12" s="13" t="s">
        <v>16</v>
      </c>
      <c r="C12" s="16">
        <v>548.38</v>
      </c>
      <c r="D12" s="13">
        <v>353</v>
      </c>
      <c r="E12" s="13">
        <v>353</v>
      </c>
      <c r="F12" s="13">
        <f>Table132[[#This Row],[New position]]-Table132[[#This Row],[Old position]]</f>
        <v>0</v>
      </c>
      <c r="G12" s="21">
        <v>0.33300000000000002</v>
      </c>
      <c r="H12" s="16">
        <v>189276.5</v>
      </c>
      <c r="I12" s="37"/>
      <c r="K12" s="49"/>
      <c r="L12" s="1" t="s">
        <v>77</v>
      </c>
      <c r="M12" s="50">
        <f>SUM(G31:G35)</f>
        <v>5</v>
      </c>
      <c r="N12" s="2">
        <f>M12*$N$16</f>
        <v>8.5888020760371138</v>
      </c>
      <c r="O12" s="2">
        <f>N12*$O$16</f>
        <v>8.2632864773553063</v>
      </c>
      <c r="P12" s="52">
        <f t="shared" ref="P12:P13" si="0">O12/100</f>
        <v>8.2632864773553069E-2</v>
      </c>
    </row>
    <row r="13" spans="1:18" x14ac:dyDescent="0.25">
      <c r="A13" s="13" t="s">
        <v>30</v>
      </c>
      <c r="B13" s="13" t="s">
        <v>16</v>
      </c>
      <c r="C13" s="16">
        <v>100.38</v>
      </c>
      <c r="D13" s="13">
        <v>1905</v>
      </c>
      <c r="E13" s="13">
        <v>1905</v>
      </c>
      <c r="F13" s="13">
        <f>Table132[[#This Row],[New position]]-Table132[[#This Row],[Old position]]</f>
        <v>0</v>
      </c>
      <c r="G13" s="21">
        <v>0.33300000000000002</v>
      </c>
      <c r="H13" s="16">
        <v>189276.5</v>
      </c>
      <c r="I13" s="43"/>
      <c r="K13" s="49"/>
      <c r="L13" s="1" t="s">
        <v>78</v>
      </c>
      <c r="M13" s="50">
        <f>SUM(G36:G43)-G44*7</f>
        <v>10.995999999999999</v>
      </c>
      <c r="N13" s="2">
        <f>M13*$N$16</f>
        <v>18.88849352562082</v>
      </c>
      <c r="O13" s="2">
        <f>N13*$O$16</f>
        <v>18.172619620999789</v>
      </c>
      <c r="P13" s="52">
        <f t="shared" si="0"/>
        <v>0.18172619620999789</v>
      </c>
    </row>
    <row r="14" spans="1:18" x14ac:dyDescent="0.25">
      <c r="A14" s="13" t="s">
        <v>31</v>
      </c>
      <c r="B14" s="13" t="s">
        <v>16</v>
      </c>
      <c r="C14" s="16">
        <v>76.790000000000006</v>
      </c>
      <c r="D14" s="13">
        <v>2450</v>
      </c>
      <c r="E14" s="13">
        <v>2450</v>
      </c>
      <c r="F14" s="13">
        <f>Table132[[#This Row],[New position]]-Table132[[#This Row],[Old position]]</f>
        <v>0</v>
      </c>
      <c r="G14" s="21">
        <v>0.33300000000000002</v>
      </c>
      <c r="H14" s="16">
        <v>189274.63</v>
      </c>
      <c r="I14" s="6"/>
      <c r="K14" s="49"/>
      <c r="L14" s="1" t="s">
        <v>79</v>
      </c>
      <c r="M14" s="50">
        <f>(C7-C8)/C7*100</f>
        <v>8.9741578377434603</v>
      </c>
      <c r="N14" s="51">
        <f>M14</f>
        <v>8.9741578377434603</v>
      </c>
      <c r="O14" s="2">
        <f>N14*$O$16</f>
        <v>8.6340372556929825</v>
      </c>
      <c r="P14" s="52">
        <f>R14+O14/100</f>
        <v>0.12424037255692982</v>
      </c>
      <c r="R14" s="53">
        <f>(M20+M21)/100</f>
        <v>3.7900000000000003E-2</v>
      </c>
    </row>
    <row r="15" spans="1:18" x14ac:dyDescent="0.25">
      <c r="A15" s="13" t="s">
        <v>33</v>
      </c>
      <c r="B15" s="13" t="s">
        <v>16</v>
      </c>
      <c r="C15" s="16">
        <v>81.87</v>
      </c>
      <c r="D15" s="13">
        <v>2309</v>
      </c>
      <c r="E15" s="13">
        <v>2309</v>
      </c>
      <c r="F15" s="13">
        <f>Table132[[#This Row],[New position]]-Table132[[#This Row],[Old position]]</f>
        <v>0</v>
      </c>
      <c r="G15" s="21">
        <v>0.33300000000000002</v>
      </c>
      <c r="H15" s="16">
        <v>189274.63</v>
      </c>
      <c r="I15" s="6"/>
      <c r="K15" s="49"/>
      <c r="N15" s="1" t="s">
        <v>80</v>
      </c>
    </row>
    <row r="16" spans="1:18" x14ac:dyDescent="0.25">
      <c r="A16" s="13" t="s">
        <v>39</v>
      </c>
      <c r="B16" s="13" t="s">
        <v>16</v>
      </c>
      <c r="C16" s="16">
        <v>66.02</v>
      </c>
      <c r="D16" s="13">
        <v>2816</v>
      </c>
      <c r="E16" s="13">
        <v>0</v>
      </c>
      <c r="F16" s="13">
        <f>Table132[[#This Row],[New position]]-Table132[[#This Row],[Old position]]</f>
        <v>-2816</v>
      </c>
      <c r="G16" s="21">
        <v>0</v>
      </c>
      <c r="H16" s="16">
        <v>0</v>
      </c>
      <c r="I16" s="6"/>
      <c r="K16" s="49"/>
      <c r="M16" s="50">
        <f>100-M14</f>
        <v>91.025842162256538</v>
      </c>
      <c r="N16" s="1">
        <f>M16/SUM(M11:M13)</f>
        <v>1.7177604152074228</v>
      </c>
      <c r="O16" s="1">
        <f>(100-R14*100)/100</f>
        <v>0.96209999999999996</v>
      </c>
    </row>
    <row r="17" spans="1:16" x14ac:dyDescent="0.25">
      <c r="A17" s="13" t="s">
        <v>43</v>
      </c>
      <c r="B17" s="13" t="s">
        <v>16</v>
      </c>
      <c r="C17" s="16">
        <v>359.9</v>
      </c>
      <c r="D17" s="13">
        <v>513</v>
      </c>
      <c r="E17" s="13">
        <v>513</v>
      </c>
      <c r="F17" s="13">
        <f>Table132[[#This Row],[New position]]-Table132[[#This Row],[Old position]]</f>
        <v>0</v>
      </c>
      <c r="G17" s="21">
        <v>0.33300000000000002</v>
      </c>
      <c r="H17" s="16">
        <v>189274.63</v>
      </c>
      <c r="I17" s="6"/>
      <c r="K17" s="49"/>
      <c r="P17" s="53">
        <f>SUM(P11:P14)</f>
        <v>1</v>
      </c>
    </row>
    <row r="18" spans="1:16" x14ac:dyDescent="0.25">
      <c r="A18" s="13" t="s">
        <v>45</v>
      </c>
      <c r="B18" s="13" t="s">
        <v>16</v>
      </c>
      <c r="C18" s="16">
        <v>239.96</v>
      </c>
      <c r="D18" s="13">
        <v>776</v>
      </c>
      <c r="E18" s="13">
        <v>776</v>
      </c>
      <c r="F18" s="13">
        <f>Table132[[#This Row],[New position]]-Table132[[#This Row],[Old position]]</f>
        <v>0</v>
      </c>
      <c r="G18" s="21">
        <v>0.33300000000000002</v>
      </c>
      <c r="H18" s="16">
        <v>189274.63</v>
      </c>
      <c r="I18" s="6"/>
      <c r="K18" s="49"/>
      <c r="L18" s="54"/>
      <c r="M18" s="2"/>
    </row>
    <row r="19" spans="1:16" x14ac:dyDescent="0.25">
      <c r="A19" s="13" t="s">
        <v>46</v>
      </c>
      <c r="B19" s="13" t="s">
        <v>16</v>
      </c>
      <c r="C19" s="16">
        <v>76.83</v>
      </c>
      <c r="D19" s="13">
        <v>2519</v>
      </c>
      <c r="E19" s="13">
        <v>2519</v>
      </c>
      <c r="F19" s="13">
        <f>Table132[[#This Row],[New position]]-Table132[[#This Row],[Old position]]</f>
        <v>0</v>
      </c>
      <c r="G19" s="21">
        <v>0.33300000000000002</v>
      </c>
      <c r="H19" s="16">
        <v>189274.63</v>
      </c>
      <c r="I19" s="6"/>
      <c r="K19" s="49"/>
      <c r="L19" s="54"/>
      <c r="M19" s="2"/>
    </row>
    <row r="20" spans="1:16" x14ac:dyDescent="0.25">
      <c r="A20" s="13" t="s">
        <v>49</v>
      </c>
      <c r="B20" s="13" t="s">
        <v>16</v>
      </c>
      <c r="C20" s="16">
        <v>354.5</v>
      </c>
      <c r="D20" s="13">
        <v>524</v>
      </c>
      <c r="E20" s="13">
        <v>524</v>
      </c>
      <c r="F20" s="13">
        <f>Table132[[#This Row],[New position]]-Table132[[#This Row],[Old position]]</f>
        <v>0</v>
      </c>
      <c r="G20" s="21">
        <v>0.33300000000000002</v>
      </c>
      <c r="H20" s="16">
        <v>189274.63</v>
      </c>
      <c r="I20" s="6"/>
      <c r="K20" s="49"/>
      <c r="L20" s="54" t="s">
        <v>81</v>
      </c>
      <c r="M20" s="2">
        <v>3.79</v>
      </c>
    </row>
    <row r="21" spans="1:16" x14ac:dyDescent="0.25">
      <c r="A21" s="13" t="s">
        <v>50</v>
      </c>
      <c r="B21" s="13" t="s">
        <v>16</v>
      </c>
      <c r="C21" s="16">
        <v>95.02</v>
      </c>
      <c r="D21" s="13">
        <v>1998</v>
      </c>
      <c r="E21" s="13">
        <v>0</v>
      </c>
      <c r="F21" s="13">
        <f>Table132[[#This Row],[New position]]-Table132[[#This Row],[Old position]]</f>
        <v>-1998</v>
      </c>
      <c r="G21" s="21">
        <v>0</v>
      </c>
      <c r="H21" s="16">
        <v>0</v>
      </c>
      <c r="I21" s="6"/>
      <c r="K21" s="49"/>
      <c r="L21" s="54" t="s">
        <v>82</v>
      </c>
      <c r="M21" s="2">
        <v>0</v>
      </c>
    </row>
    <row r="22" spans="1:16" x14ac:dyDescent="0.25">
      <c r="A22" s="13" t="s">
        <v>51</v>
      </c>
      <c r="B22" s="13" t="s">
        <v>16</v>
      </c>
      <c r="C22" s="16">
        <v>268</v>
      </c>
      <c r="D22" s="13">
        <v>683</v>
      </c>
      <c r="E22" s="13">
        <v>706</v>
      </c>
      <c r="F22" s="13">
        <f>Table132[[#This Row],[New position]]-Table132[[#This Row],[Old position]]</f>
        <v>23</v>
      </c>
      <c r="G22" s="21">
        <v>0.33300000000000002</v>
      </c>
      <c r="H22" s="16">
        <v>189274.63</v>
      </c>
      <c r="I22" s="6"/>
      <c r="K22" s="49"/>
      <c r="L22" s="54"/>
      <c r="M22" s="2"/>
    </row>
    <row r="23" spans="1:16" x14ac:dyDescent="0.25">
      <c r="A23" s="13" t="s">
        <v>55</v>
      </c>
      <c r="B23" s="13" t="s">
        <v>16</v>
      </c>
      <c r="C23" s="16">
        <v>324.76</v>
      </c>
      <c r="D23" s="13">
        <v>579</v>
      </c>
      <c r="E23" s="13">
        <v>579</v>
      </c>
      <c r="F23" s="13">
        <f>Table132[[#This Row],[New position]]-Table132[[#This Row],[Old position]]</f>
        <v>0</v>
      </c>
      <c r="G23" s="21">
        <v>0.33300000000000002</v>
      </c>
      <c r="H23" s="16">
        <v>189274.63</v>
      </c>
      <c r="I23" s="17"/>
      <c r="K23" s="49"/>
      <c r="L23" s="54"/>
      <c r="M23" s="2"/>
    </row>
    <row r="24" spans="1:16" x14ac:dyDescent="0.25">
      <c r="A24" s="13" t="s">
        <v>56</v>
      </c>
      <c r="B24" s="13" t="s">
        <v>16</v>
      </c>
      <c r="C24" s="16">
        <v>554.83000000000004</v>
      </c>
      <c r="D24" s="13">
        <v>342</v>
      </c>
      <c r="E24" s="13">
        <v>342</v>
      </c>
      <c r="F24" s="13">
        <f>Table132[[#This Row],[New position]]-Table132[[#This Row],[Old position]]</f>
        <v>0</v>
      </c>
      <c r="G24" s="21">
        <v>0.33300000000000002</v>
      </c>
      <c r="H24" s="16">
        <v>189274.63</v>
      </c>
      <c r="I24" s="40"/>
      <c r="K24" s="49"/>
      <c r="L24" s="54"/>
      <c r="M24" s="2"/>
    </row>
    <row r="25" spans="1:16" x14ac:dyDescent="0.25">
      <c r="A25" s="13" t="s">
        <v>59</v>
      </c>
      <c r="B25" s="13" t="s">
        <v>16</v>
      </c>
      <c r="C25" s="16">
        <v>2543.5100000000002</v>
      </c>
      <c r="D25" s="13">
        <v>73</v>
      </c>
      <c r="E25" s="13">
        <v>73</v>
      </c>
      <c r="F25" s="13">
        <f>Table132[[#This Row],[New position]]-Table132[[#This Row],[Old position]]</f>
        <v>0</v>
      </c>
      <c r="G25" s="21">
        <v>0.33300000000000002</v>
      </c>
      <c r="H25" s="16">
        <v>189274.63</v>
      </c>
      <c r="I25" s="6"/>
      <c r="K25" s="49"/>
      <c r="L25" s="54"/>
      <c r="M25" s="2"/>
    </row>
    <row r="26" spans="1:16" x14ac:dyDescent="0.25">
      <c r="A26" s="13" t="s">
        <v>66</v>
      </c>
      <c r="B26" s="13" t="s">
        <v>16</v>
      </c>
      <c r="C26" s="16">
        <v>93.75</v>
      </c>
      <c r="D26" s="13">
        <v>0</v>
      </c>
      <c r="E26" s="13">
        <v>2019</v>
      </c>
      <c r="F26" s="13">
        <f>Table132[[#This Row],[New position]]-Table132[[#This Row],[Old position]]</f>
        <v>2019</v>
      </c>
      <c r="G26" s="21">
        <v>0.33300000000000002</v>
      </c>
      <c r="H26" s="16">
        <v>189274.63</v>
      </c>
      <c r="I26" s="6"/>
      <c r="K26" s="49"/>
      <c r="L26" s="54"/>
      <c r="M26" s="2"/>
    </row>
    <row r="27" spans="1:16" x14ac:dyDescent="0.25">
      <c r="A27" s="13" t="s">
        <v>67</v>
      </c>
      <c r="B27" s="13" t="s">
        <v>16</v>
      </c>
      <c r="C27" s="16">
        <v>77.14</v>
      </c>
      <c r="D27" s="13">
        <v>0</v>
      </c>
      <c r="E27" s="13">
        <v>2454</v>
      </c>
      <c r="F27" s="13">
        <f>Table132[[#This Row],[New position]]-Table132[[#This Row],[Old position]]</f>
        <v>2454</v>
      </c>
      <c r="G27" s="21">
        <v>0.33300000000000002</v>
      </c>
      <c r="H27" s="16">
        <v>189274.63</v>
      </c>
      <c r="I27" s="6"/>
      <c r="K27" s="49"/>
      <c r="L27" s="54"/>
      <c r="M27" s="2"/>
    </row>
    <row r="28" spans="1:16" x14ac:dyDescent="0.25">
      <c r="A28" s="13" t="s">
        <v>13</v>
      </c>
      <c r="B28" s="13" t="s">
        <v>16</v>
      </c>
      <c r="C28" s="16">
        <v>279.22000000000003</v>
      </c>
      <c r="D28" s="13">
        <v>54873</v>
      </c>
      <c r="E28" s="13">
        <v>54873</v>
      </c>
      <c r="F28" s="13">
        <f>Table132[[#This Row],[New position]]-Table132[[#This Row],[Old position]]</f>
        <v>0</v>
      </c>
      <c r="G28" s="21">
        <v>27</v>
      </c>
      <c r="H28" s="16">
        <v>15331397.949999999</v>
      </c>
      <c r="I28" s="6"/>
      <c r="K28" s="49"/>
      <c r="L28" s="54"/>
      <c r="M28" s="2"/>
    </row>
    <row r="29" spans="1:16" x14ac:dyDescent="0.25">
      <c r="A29" s="13" t="s">
        <v>23</v>
      </c>
      <c r="B29" s="13" t="s">
        <v>16</v>
      </c>
      <c r="C29" s="16">
        <v>88.5</v>
      </c>
      <c r="D29" s="13">
        <v>15452</v>
      </c>
      <c r="E29" s="13">
        <v>16040</v>
      </c>
      <c r="F29" s="13">
        <f>Table132[[#This Row],[New position]]-Table132[[#This Row],[Old position]]</f>
        <v>588</v>
      </c>
      <c r="G29" s="21">
        <v>2.5</v>
      </c>
      <c r="H29" s="16">
        <v>1419573.88</v>
      </c>
      <c r="I29" s="43"/>
      <c r="J29" t="s">
        <v>83</v>
      </c>
      <c r="K29" s="55">
        <f>SUM(H29:H32)/C4</f>
        <v>0.12022289954944618</v>
      </c>
      <c r="L29" s="54"/>
      <c r="M29" s="2"/>
    </row>
    <row r="30" spans="1:16" x14ac:dyDescent="0.25">
      <c r="A30" s="13" t="s">
        <v>36</v>
      </c>
      <c r="B30" s="13" t="s">
        <v>16</v>
      </c>
      <c r="C30" s="16">
        <v>39.979999999999997</v>
      </c>
      <c r="D30" s="13">
        <v>35602</v>
      </c>
      <c r="E30" s="13">
        <v>35602</v>
      </c>
      <c r="F30" s="13">
        <f>Table132[[#This Row],[New position]]-Table132[[#This Row],[Old position]]</f>
        <v>0</v>
      </c>
      <c r="G30" s="21">
        <v>2.5</v>
      </c>
      <c r="H30" s="16">
        <v>1419573.88</v>
      </c>
      <c r="I30" s="6"/>
      <c r="J30" t="s">
        <v>78</v>
      </c>
      <c r="K30" s="55">
        <f>SUM(H33:H47)/C4</f>
        <v>0.21591052174797287</v>
      </c>
      <c r="L30" s="54"/>
      <c r="M30" s="2"/>
    </row>
    <row r="31" spans="1:16" x14ac:dyDescent="0.25">
      <c r="A31" s="13" t="s">
        <v>44</v>
      </c>
      <c r="B31" s="13" t="s">
        <v>17</v>
      </c>
      <c r="C31" s="16">
        <v>204437.67</v>
      </c>
      <c r="D31" s="13">
        <v>3</v>
      </c>
      <c r="E31" s="13">
        <v>3</v>
      </c>
      <c r="F31" s="13">
        <f>Table132[[#This Row],[New position]]-Table132[[#This Row],[Old position]]</f>
        <v>0</v>
      </c>
      <c r="G31" s="21">
        <v>1</v>
      </c>
      <c r="H31" s="16">
        <v>567829.55000000005</v>
      </c>
      <c r="I31" s="6"/>
      <c r="J31" t="s">
        <v>76</v>
      </c>
      <c r="K31" s="55">
        <f>SUM(H11:H28)/C7</f>
        <v>0.5495897132954356</v>
      </c>
      <c r="L31" s="54"/>
      <c r="M31" s="2"/>
    </row>
    <row r="32" spans="1:16" x14ac:dyDescent="0.25">
      <c r="A32" s="13" t="s">
        <v>42</v>
      </c>
      <c r="B32" s="13" t="s">
        <v>17</v>
      </c>
      <c r="C32" s="16">
        <v>75803.86</v>
      </c>
      <c r="D32" s="13">
        <v>7</v>
      </c>
      <c r="E32" s="13">
        <v>7</v>
      </c>
      <c r="F32" s="13">
        <f>Table132[[#This Row],[New position]]-Table132[[#This Row],[Old position]]</f>
        <v>0</v>
      </c>
      <c r="G32" s="21">
        <v>1</v>
      </c>
      <c r="H32" s="16">
        <v>567829.55000000005</v>
      </c>
      <c r="I32" s="43"/>
      <c r="J32" t="s">
        <v>84</v>
      </c>
      <c r="K32" s="56">
        <f>(C7-C8)/C7</f>
        <v>8.97415783774346E-2</v>
      </c>
      <c r="L32" s="54"/>
      <c r="M32" s="2"/>
    </row>
    <row r="33" spans="1:13" x14ac:dyDescent="0.25">
      <c r="A33" s="13" t="s">
        <v>65</v>
      </c>
      <c r="B33" s="13" t="s">
        <v>17</v>
      </c>
      <c r="C33" s="16">
        <v>82135.429999999993</v>
      </c>
      <c r="D33" s="13">
        <v>7</v>
      </c>
      <c r="E33" s="13">
        <v>7</v>
      </c>
      <c r="F33" s="13">
        <f>Table132[[#This Row],[New position]]-Table132[[#This Row],[Old position]]</f>
        <v>0</v>
      </c>
      <c r="G33" s="21">
        <v>1</v>
      </c>
      <c r="H33" s="16">
        <v>567829.55000000005</v>
      </c>
      <c r="I33" s="45"/>
      <c r="J33" s="47"/>
      <c r="K33" s="49"/>
      <c r="L33" s="54"/>
      <c r="M33" s="2"/>
    </row>
    <row r="34" spans="1:13" x14ac:dyDescent="0.25">
      <c r="A34" s="13" t="s">
        <v>48</v>
      </c>
      <c r="B34" s="13" t="s">
        <v>17</v>
      </c>
      <c r="C34" s="16">
        <v>106191.4</v>
      </c>
      <c r="D34" s="13">
        <v>5</v>
      </c>
      <c r="E34" s="13">
        <v>5</v>
      </c>
      <c r="F34" s="13">
        <f>Table132[[#This Row],[New position]]-Table132[[#This Row],[Old position]]</f>
        <v>0</v>
      </c>
      <c r="G34" s="21">
        <v>1</v>
      </c>
      <c r="H34" s="16">
        <v>567829.55000000005</v>
      </c>
      <c r="I34" s="6"/>
      <c r="K34" s="57">
        <f>SUM(K29:K32)</f>
        <v>0.97546471297028925</v>
      </c>
      <c r="L34" s="54"/>
      <c r="M34" s="2"/>
    </row>
    <row r="35" spans="1:13" x14ac:dyDescent="0.25">
      <c r="A35" s="13" t="s">
        <v>52</v>
      </c>
      <c r="B35" s="13" t="s">
        <v>17</v>
      </c>
      <c r="C35" s="16">
        <v>105401.8</v>
      </c>
      <c r="D35" s="13">
        <v>5</v>
      </c>
      <c r="E35" s="13">
        <v>5</v>
      </c>
      <c r="F35" s="13">
        <f>Table132[[#This Row],[New position]]-Table132[[#This Row],[Old position]]</f>
        <v>0</v>
      </c>
      <c r="G35" s="21">
        <v>1</v>
      </c>
      <c r="H35" s="16">
        <v>567829.55000000005</v>
      </c>
      <c r="I35" s="46"/>
      <c r="K35" s="49"/>
      <c r="L35" s="54"/>
      <c r="M35" s="2"/>
    </row>
    <row r="36" spans="1:13" x14ac:dyDescent="0.25">
      <c r="A36" s="13" t="s">
        <v>27</v>
      </c>
      <c r="B36" s="13" t="s">
        <v>16</v>
      </c>
      <c r="C36" s="16">
        <v>31.07</v>
      </c>
      <c r="D36" s="13">
        <v>17834</v>
      </c>
      <c r="E36" s="13">
        <v>17834</v>
      </c>
      <c r="F36" s="13">
        <f>Table132[[#This Row],[New position]]-Table132[[#This Row],[Old position]]</f>
        <v>0</v>
      </c>
      <c r="G36" s="21">
        <v>1</v>
      </c>
      <c r="H36" s="16">
        <v>567829.55000000005</v>
      </c>
      <c r="I36" s="6"/>
      <c r="K36" s="49"/>
      <c r="L36" s="54"/>
      <c r="M36" s="2"/>
    </row>
    <row r="37" spans="1:13" x14ac:dyDescent="0.25">
      <c r="A37" s="13" t="s">
        <v>32</v>
      </c>
      <c r="B37" s="13" t="s">
        <v>17</v>
      </c>
      <c r="C37" s="16">
        <v>42930</v>
      </c>
      <c r="D37" s="13">
        <v>7</v>
      </c>
      <c r="E37" s="13">
        <v>13</v>
      </c>
      <c r="F37" s="13">
        <f>Table132[[#This Row],[New position]]-Table132[[#This Row],[Old position]]</f>
        <v>6</v>
      </c>
      <c r="G37" s="21">
        <v>0.95199999999999996</v>
      </c>
      <c r="H37" s="16">
        <v>540790.07999999996</v>
      </c>
      <c r="I37" s="6"/>
      <c r="K37" s="49"/>
      <c r="L37" s="54"/>
      <c r="M37" s="2"/>
    </row>
    <row r="38" spans="1:13" x14ac:dyDescent="0.25">
      <c r="A38" s="13" t="s">
        <v>34</v>
      </c>
      <c r="B38" s="13" t="s">
        <v>17</v>
      </c>
      <c r="C38" s="16">
        <v>111700</v>
      </c>
      <c r="D38" s="13">
        <v>3</v>
      </c>
      <c r="E38" s="13">
        <v>5</v>
      </c>
      <c r="F38" s="13">
        <f>Table132[[#This Row],[New position]]-Table132[[#This Row],[Old position]]</f>
        <v>2</v>
      </c>
      <c r="G38" s="21">
        <v>0.95199999999999996</v>
      </c>
      <c r="H38" s="16">
        <v>540790.07999999996</v>
      </c>
      <c r="I38" s="6"/>
      <c r="K38" s="49"/>
      <c r="L38" s="54"/>
      <c r="M38" s="2"/>
    </row>
    <row r="39" spans="1:13" x14ac:dyDescent="0.25">
      <c r="A39" s="13" t="s">
        <v>35</v>
      </c>
      <c r="B39" s="13" t="s">
        <v>17</v>
      </c>
      <c r="C39" s="16">
        <v>34837.56</v>
      </c>
      <c r="D39" s="13">
        <v>9</v>
      </c>
      <c r="E39" s="13">
        <v>16</v>
      </c>
      <c r="F39" s="13">
        <f>Table132[[#This Row],[New position]]-Table132[[#This Row],[Old position]]</f>
        <v>7</v>
      </c>
      <c r="G39" s="21">
        <v>0.95199999999999996</v>
      </c>
      <c r="H39" s="16">
        <v>540790.07999999996</v>
      </c>
      <c r="I39" s="6"/>
      <c r="K39" s="49"/>
      <c r="L39" s="54"/>
      <c r="M39" s="2"/>
    </row>
    <row r="40" spans="1:13" x14ac:dyDescent="0.25">
      <c r="A40" s="13" t="s">
        <v>37</v>
      </c>
      <c r="B40" s="13" t="s">
        <v>17</v>
      </c>
      <c r="C40" s="16">
        <v>105403.33</v>
      </c>
      <c r="D40" s="13">
        <v>3</v>
      </c>
      <c r="E40" s="13">
        <v>5</v>
      </c>
      <c r="F40" s="13">
        <f>Table132[[#This Row],[New position]]-Table132[[#This Row],[Old position]]</f>
        <v>2</v>
      </c>
      <c r="G40" s="21">
        <v>0.95199999999999996</v>
      </c>
      <c r="H40" s="16">
        <v>540790.07999999996</v>
      </c>
      <c r="I40" s="46"/>
      <c r="K40" s="49"/>
      <c r="L40" s="54"/>
      <c r="M40" s="2"/>
    </row>
    <row r="41" spans="1:13" x14ac:dyDescent="0.25">
      <c r="A41" s="13" t="s">
        <v>38</v>
      </c>
      <c r="B41" s="13" t="s">
        <v>17</v>
      </c>
      <c r="C41" s="16">
        <v>155337</v>
      </c>
      <c r="D41" s="13">
        <v>2</v>
      </c>
      <c r="E41" s="13">
        <v>3</v>
      </c>
      <c r="F41" s="13">
        <f>Table132[[#This Row],[New position]]-Table132[[#This Row],[Old position]]</f>
        <v>1</v>
      </c>
      <c r="G41" s="21">
        <v>0.95199999999999996</v>
      </c>
      <c r="H41" s="16">
        <v>540790.07999999996</v>
      </c>
      <c r="I41" s="6"/>
      <c r="K41" s="49"/>
      <c r="L41" s="58">
        <f>SUM(H29:H32)</f>
        <v>3974806.8599999994</v>
      </c>
      <c r="M41" s="2"/>
    </row>
    <row r="42" spans="1:13" x14ac:dyDescent="0.25">
      <c r="A42" s="13" t="s">
        <v>40</v>
      </c>
      <c r="B42" s="13" t="s">
        <v>17</v>
      </c>
      <c r="C42" s="16">
        <v>70475</v>
      </c>
      <c r="D42" s="13">
        <v>-4</v>
      </c>
      <c r="E42" s="13">
        <v>8</v>
      </c>
      <c r="F42" s="13">
        <f>Table132[[#This Row],[New position]]-Table132[[#This Row],[Old position]]</f>
        <v>12</v>
      </c>
      <c r="G42" s="21">
        <v>0.95199999999999996</v>
      </c>
      <c r="H42" s="16">
        <v>540790.07999999996</v>
      </c>
      <c r="I42" s="6"/>
      <c r="K42" s="49"/>
      <c r="L42" s="58">
        <f>SUM(H34:H47)</f>
        <v>6570599.3700000001</v>
      </c>
      <c r="M42" s="2"/>
    </row>
    <row r="43" spans="1:13" x14ac:dyDescent="0.25">
      <c r="A43" s="13" t="s">
        <v>68</v>
      </c>
      <c r="B43" s="13" t="s">
        <v>17</v>
      </c>
      <c r="C43" s="16">
        <v>92530</v>
      </c>
      <c r="D43" s="13">
        <v>0</v>
      </c>
      <c r="E43" s="13">
        <v>6</v>
      </c>
      <c r="F43" s="13">
        <f>Table132[[#This Row],[New position]]-Table132[[#This Row],[Old position]]</f>
        <v>6</v>
      </c>
      <c r="G43" s="21">
        <v>0.95199999999999996</v>
      </c>
      <c r="H43" s="16">
        <v>540790.07999999996</v>
      </c>
      <c r="I43" s="6"/>
      <c r="K43" s="49"/>
      <c r="L43" s="54"/>
      <c r="M43" s="2"/>
    </row>
    <row r="44" spans="1:13" x14ac:dyDescent="0.25">
      <c r="A44" s="13" t="s">
        <v>47</v>
      </c>
      <c r="B44" s="13" t="s">
        <v>17</v>
      </c>
      <c r="C44" s="16">
        <v>35970</v>
      </c>
      <c r="D44" s="13">
        <v>-16</v>
      </c>
      <c r="E44" s="13">
        <v>-8</v>
      </c>
      <c r="F44" s="13">
        <f>Table132[[#This Row],[New position]]-Table132[[#This Row],[Old position]]</f>
        <v>8</v>
      </c>
      <c r="G44" s="21">
        <v>-0.47599999999999998</v>
      </c>
      <c r="H44" s="16">
        <v>270395.03999999998</v>
      </c>
      <c r="I44" s="6"/>
      <c r="K44" s="49"/>
      <c r="L44" s="54"/>
      <c r="M44" s="2"/>
    </row>
    <row r="45" spans="1:13" x14ac:dyDescent="0.25">
      <c r="A45" s="13" t="s">
        <v>57</v>
      </c>
      <c r="B45" s="13" t="s">
        <v>17</v>
      </c>
      <c r="C45" s="16">
        <v>64818.78</v>
      </c>
      <c r="D45" s="13">
        <v>-9</v>
      </c>
      <c r="E45" s="13">
        <v>-4</v>
      </c>
      <c r="F45" s="13">
        <f>Table132[[#This Row],[New position]]-Table132[[#This Row],[Old position]]</f>
        <v>5</v>
      </c>
      <c r="G45" s="21">
        <v>-0.47599999999999998</v>
      </c>
      <c r="H45" s="16">
        <v>270395.03999999998</v>
      </c>
      <c r="I45" s="43"/>
      <c r="K45" s="49"/>
      <c r="L45" s="54"/>
      <c r="M45" s="2"/>
    </row>
    <row r="46" spans="1:13" x14ac:dyDescent="0.25">
      <c r="A46" s="13" t="s">
        <v>61</v>
      </c>
      <c r="B46" s="13" t="s">
        <v>17</v>
      </c>
      <c r="C46" s="16">
        <v>7895</v>
      </c>
      <c r="D46" s="13">
        <v>-72</v>
      </c>
      <c r="E46" s="13">
        <v>-34</v>
      </c>
      <c r="F46" s="13">
        <f>Table132[[#This Row],[New position]]-Table132[[#This Row],[Old position]]</f>
        <v>38</v>
      </c>
      <c r="G46" s="21">
        <v>-0.47599999999999998</v>
      </c>
      <c r="H46" s="16">
        <v>270395.03999999998</v>
      </c>
      <c r="I46" s="6"/>
      <c r="K46" s="49"/>
      <c r="L46" s="54"/>
      <c r="M46" s="2"/>
    </row>
    <row r="47" spans="1:13" x14ac:dyDescent="0.25">
      <c r="A47" s="13" t="s">
        <v>62</v>
      </c>
      <c r="B47" s="13" t="s">
        <v>17</v>
      </c>
      <c r="C47" s="16">
        <v>5765</v>
      </c>
      <c r="D47" s="13">
        <v>-98</v>
      </c>
      <c r="E47" s="13">
        <v>-47</v>
      </c>
      <c r="F47" s="13">
        <f>Table132[[#This Row],[New position]]-Table132[[#This Row],[Old position]]</f>
        <v>51</v>
      </c>
      <c r="G47" s="21">
        <v>-0.47599999999999998</v>
      </c>
      <c r="H47" s="16">
        <v>270395.03999999998</v>
      </c>
      <c r="I47" s="6"/>
      <c r="K47" s="49"/>
      <c r="L47" s="54"/>
      <c r="M47" s="2"/>
    </row>
    <row r="48" spans="1:13" x14ac:dyDescent="0.25">
      <c r="A48" s="13" t="s">
        <v>69</v>
      </c>
      <c r="B48" s="13" t="s">
        <v>17</v>
      </c>
      <c r="C48" s="16">
        <v>187850</v>
      </c>
      <c r="D48" s="13">
        <v>0</v>
      </c>
      <c r="E48" s="13">
        <v>-1</v>
      </c>
      <c r="F48" s="13">
        <f>Table132[[#This Row],[New position]]-Table132[[#This Row],[Old position]]</f>
        <v>-1</v>
      </c>
      <c r="G48" s="21">
        <v>-0.47599999999999998</v>
      </c>
      <c r="H48" s="16">
        <v>270395.03999999998</v>
      </c>
      <c r="I48" s="6"/>
      <c r="K48" s="49"/>
    </row>
    <row r="49" spans="1:11" x14ac:dyDescent="0.25">
      <c r="A49" s="13" t="s">
        <v>70</v>
      </c>
      <c r="B49" s="13" t="s">
        <v>17</v>
      </c>
      <c r="C49" s="16">
        <v>48450</v>
      </c>
      <c r="D49" s="13">
        <v>0</v>
      </c>
      <c r="E49" s="13">
        <v>-6</v>
      </c>
      <c r="F49" s="13">
        <f>Table132[[#This Row],[New position]]-Table132[[#This Row],[Old position]]</f>
        <v>-6</v>
      </c>
      <c r="G49" s="21">
        <v>-0.47599999999999998</v>
      </c>
      <c r="H49" s="16">
        <v>270395.03999999998</v>
      </c>
      <c r="I49" s="6"/>
      <c r="K49" s="49"/>
    </row>
    <row r="50" spans="1:11" x14ac:dyDescent="0.25">
      <c r="A50" s="13" t="s">
        <v>71</v>
      </c>
      <c r="B50" s="13" t="s">
        <v>17</v>
      </c>
      <c r="C50" s="16">
        <v>43912.5</v>
      </c>
      <c r="D50" s="13">
        <v>0</v>
      </c>
      <c r="E50" s="13">
        <v>-6</v>
      </c>
      <c r="F50" s="13">
        <f>Table132[[#This Row],[New position]]-Table132[[#This Row],[Old position]]</f>
        <v>-6</v>
      </c>
      <c r="G50" s="21">
        <v>-0.47599999999999998</v>
      </c>
      <c r="H50" s="16">
        <v>270395.03999999998</v>
      </c>
      <c r="I50" s="6"/>
      <c r="K50" s="49"/>
    </row>
    <row r="51" spans="1:11" x14ac:dyDescent="0.25">
      <c r="A51" s="13" t="s">
        <v>58</v>
      </c>
      <c r="B51" s="13" t="s">
        <v>17</v>
      </c>
      <c r="C51" s="16">
        <v>62401.7</v>
      </c>
      <c r="D51" s="13">
        <v>-10</v>
      </c>
      <c r="E51" s="13">
        <v>0</v>
      </c>
      <c r="F51" s="13">
        <f>Table132[[#This Row],[New position]]-Table132[[#This Row],[Old position]]</f>
        <v>10</v>
      </c>
      <c r="G51" s="21">
        <v>0</v>
      </c>
      <c r="H51" s="16">
        <v>0</v>
      </c>
      <c r="I51" s="46"/>
    </row>
    <row r="52" spans="1:11" x14ac:dyDescent="0.25">
      <c r="A52" s="13" t="s">
        <v>63</v>
      </c>
      <c r="B52" s="13" t="s">
        <v>17</v>
      </c>
      <c r="C52" s="16">
        <v>19300</v>
      </c>
      <c r="D52" s="13">
        <v>-32</v>
      </c>
      <c r="E52" s="13">
        <v>0</v>
      </c>
      <c r="F52" s="13">
        <f>Table132[[#This Row],[New position]]-Table132[[#This Row],[Old position]]</f>
        <v>32</v>
      </c>
      <c r="G52" s="21">
        <v>0</v>
      </c>
      <c r="H52" s="16">
        <v>0</v>
      </c>
      <c r="I52" s="46"/>
      <c r="K52" s="50"/>
    </row>
    <row r="53" spans="1:11" x14ac:dyDescent="0.25">
      <c r="A53" s="13" t="s">
        <v>60</v>
      </c>
      <c r="B53" s="13" t="s">
        <v>17</v>
      </c>
      <c r="C53" s="16">
        <v>34450</v>
      </c>
      <c r="D53" s="13">
        <v>9</v>
      </c>
      <c r="E53" s="13">
        <v>0</v>
      </c>
      <c r="F53" s="13">
        <f>Table132[[#This Row],[New position]]-Table132[[#This Row],[Old position]]</f>
        <v>-9</v>
      </c>
      <c r="G53" s="21">
        <v>0</v>
      </c>
      <c r="H53" s="16">
        <v>0</v>
      </c>
      <c r="I53" s="46"/>
    </row>
    <row r="54" spans="1:11" x14ac:dyDescent="0.25">
      <c r="A54" s="13" t="s">
        <v>53</v>
      </c>
      <c r="B54" s="13"/>
      <c r="C54" s="16"/>
      <c r="D54" s="13"/>
      <c r="E54" s="13"/>
      <c r="F54" s="13"/>
      <c r="G54" s="21">
        <f>100 - SUM(G11:G43)+7*G44</f>
        <v>47.009000000000007</v>
      </c>
      <c r="H54" s="16"/>
      <c r="I54" s="6"/>
    </row>
    <row r="55" spans="1:11" x14ac:dyDescent="0.25">
      <c r="A55" s="13" t="s">
        <v>41</v>
      </c>
      <c r="B55" s="13"/>
      <c r="C55" s="16">
        <v>403</v>
      </c>
      <c r="D55" s="13">
        <v>1040</v>
      </c>
      <c r="E55" s="13">
        <v>1040</v>
      </c>
      <c r="F55" s="48">
        <f>E55-D55</f>
        <v>0</v>
      </c>
      <c r="G55" s="36"/>
      <c r="H55" s="16">
        <f>E55*C55</f>
        <v>419120</v>
      </c>
      <c r="I55" s="6"/>
    </row>
    <row r="56" spans="1:11" x14ac:dyDescent="0.25">
      <c r="A56" s="13" t="s">
        <v>54</v>
      </c>
      <c r="B56" s="13"/>
      <c r="C56" s="16">
        <v>2141</v>
      </c>
      <c r="D56" s="13">
        <v>420</v>
      </c>
      <c r="E56" s="13">
        <v>420</v>
      </c>
      <c r="F56" s="48">
        <f>E56-D56</f>
        <v>0</v>
      </c>
      <c r="G56" s="36"/>
      <c r="H56" s="16">
        <f>C56*E56</f>
        <v>899220</v>
      </c>
      <c r="I56" s="6"/>
    </row>
    <row r="57" spans="1:11" x14ac:dyDescent="0.25">
      <c r="A57" s="35"/>
      <c r="B57" s="7" t="s">
        <v>26</v>
      </c>
      <c r="D57" s="1"/>
      <c r="E57" s="7" t="s">
        <v>24</v>
      </c>
      <c r="F57" s="1"/>
      <c r="G57" s="34"/>
      <c r="H57" s="3" t="s">
        <v>3</v>
      </c>
      <c r="I57" s="6"/>
    </row>
    <row r="58" spans="1:11" x14ac:dyDescent="0.25">
      <c r="B58" s="7" t="s">
        <v>2</v>
      </c>
      <c r="D58" s="1"/>
      <c r="E58" s="7" t="s">
        <v>25</v>
      </c>
      <c r="F58" s="1"/>
      <c r="G58" s="34"/>
      <c r="H58" s="3" t="s">
        <v>4</v>
      </c>
    </row>
    <row r="59" spans="1:11" x14ac:dyDescent="0.25">
      <c r="B59" s="4"/>
      <c r="C59"/>
      <c r="D59" s="1"/>
      <c r="E59" s="4"/>
      <c r="F59" s="34"/>
      <c r="H59" s="5"/>
    </row>
    <row r="60" spans="1:11" x14ac:dyDescent="0.25">
      <c r="C60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2022-11-24T08:56:40Z</cp:lastPrinted>
  <dcterms:created xsi:type="dcterms:W3CDTF">2020-06-30T03:42:56Z</dcterms:created>
  <dcterms:modified xsi:type="dcterms:W3CDTF">2022-11-24T08:58:10Z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