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79" documentId="14_{A48F4B07-3EF3-43E5-91B2-4CA340E6013A}" xr6:coauthVersionLast="47" xr6:coauthVersionMax="47" xr10:uidLastSave="{6435E3B7-2928-46EB-A994-A5BBC2F53B51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3" l="1"/>
  <c r="H41" i="3"/>
  <c r="H40" i="3"/>
  <c r="H39" i="3"/>
  <c r="H38" i="3"/>
  <c r="H37" i="3"/>
  <c r="H36" i="3"/>
  <c r="H35" i="3"/>
  <c r="H34" i="3"/>
  <c r="H33" i="3"/>
  <c r="C3" i="3"/>
  <c r="G60" i="3"/>
  <c r="G59" i="3"/>
  <c r="G58" i="3"/>
  <c r="G57" i="3"/>
  <c r="H47" i="3"/>
  <c r="C5" i="3" l="1"/>
  <c r="F39" i="3" l="1"/>
  <c r="C13" i="3" a="1"/>
  <c r="C13" i="3" l="1"/>
  <c r="C2" i="3" s="1"/>
  <c r="G61" i="3" a="1"/>
  <c r="G61" i="3" s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C12" i="3"/>
  <c r="C4" i="3" l="1"/>
  <c r="C7" i="3"/>
  <c r="C6" i="3"/>
  <c r="C8" i="3"/>
  <c r="G62" i="3"/>
</calcChain>
</file>

<file path=xl/sharedStrings.xml><?xml version="1.0" encoding="utf-8"?>
<sst xmlns="http://schemas.openxmlformats.org/spreadsheetml/2006/main" count="116" uniqueCount="74">
  <si>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</si>
  <si>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</si>
  <si>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</si>
  <si>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</si>
  <si>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</si>
  <si>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</si>
  <si>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</si>
  <si>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</si>
  <si>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</si>
  <si>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</si>
  <si>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</si>
  <si>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</si>
  <si>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</si>
  <si>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</si>
  <si>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</si>
  <si>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</si>
  <si>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</si>
  <si>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</si>
  <si>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</si>
  <si>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</si>
  <si>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</si>
  <si>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</si>
  <si>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</si>
  <si>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</si>
  <si>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</si>
  <si>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</si>
  <si>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</si>
  <si>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</si>
  <si>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IGSB</t>
  </si>
  <si>
    <t>HYG</t>
  </si>
  <si>
    <t>GE</t>
  </si>
  <si>
    <t>FPE</t>
  </si>
  <si>
    <t>PANW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</si>
  <si>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</si>
  <si>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</si>
  <si>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</si>
  <si>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</si>
  <si>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</si>
  <si>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</si>
  <si>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</si>
  <si>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</si>
  <si>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</si>
  <si>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</si>
  <si>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</si>
  <si>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</si>
  <si>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</si>
  <si>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</si>
  <si>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</si>
  <si>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</si>
  <si>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</si>
  <si>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</si>
  <si>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</si>
  <si>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</si>
  <si>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</si>
  <si>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</si>
  <si>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</si>
  <si>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</si>
  <si>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</si>
  <si>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</si>
  <si>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</si>
  <si>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</si>
  <si>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</si>
  <si>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TSR20</t>
  </si>
  <si>
    <t>Cash Amount</t>
  </si>
  <si>
    <t>BKNG</t>
  </si>
  <si>
    <t>R</t>
  </si>
  <si>
    <t>SCI</t>
  </si>
  <si>
    <t>GF</t>
  </si>
  <si>
    <t>MCK</t>
  </si>
  <si>
    <t>COR</t>
  </si>
  <si>
    <t>LE</t>
  </si>
  <si>
    <t>SB</t>
  </si>
  <si>
    <t>Leverage for QQQ</t>
  </si>
  <si>
    <t>Leverage for Equities (incl. QQQ)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</si>
</sst>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Sheet1!$F$57:$F$61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Sheet1!$G$57:$G$61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zoomScale="115" zoomScaleNormal="115" workbookViewId="0">
      <selection activeCell="L12" sqref="L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45198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C13/C12</f>
        <v>2.8680467070798787</v>
      </c>
      <c r="D2"/>
      <c r="E2" s="25"/>
      <c r="F2" s="17"/>
      <c r="G2" s="17"/>
      <c r="H2" s="16"/>
    </row>
    <row r="3" spans="1:18" s="13" customFormat="1" x14ac:dyDescent="0.25">
      <c r="A3" s="60" t="s">
        <v>73</v>
      </c>
      <c r="B3" s="61"/>
      <c r="C3" s="15">
        <f>SUM(H16:H32)/C12</f>
        <v>1.7574873950716461</v>
      </c>
      <c r="D3"/>
      <c r="E3" s="25"/>
      <c r="F3" s="17"/>
      <c r="G3" s="17"/>
      <c r="H3" s="16"/>
    </row>
    <row r="4" spans="1:18" s="13" customFormat="1" x14ac:dyDescent="0.25">
      <c r="A4" s="60" t="s">
        <v>72</v>
      </c>
      <c r="B4" s="61"/>
      <c r="C4" s="15">
        <f>SUM(H31)/C12</f>
        <v>1.4249898000412022</v>
      </c>
      <c r="D4"/>
      <c r="E4" s="25"/>
      <c r="F4" s="17"/>
      <c r="G4" s="17"/>
      <c r="H4" s="16"/>
    </row>
    <row r="5" spans="1:18" s="13" customFormat="1" x14ac:dyDescent="0.25">
      <c r="A5" s="60" t="s">
        <v>45</v>
      </c>
      <c r="B5" s="61"/>
      <c r="C5" s="15">
        <f>SUM(H33:H42)/C12</f>
        <v>0.82845692379426861</v>
      </c>
      <c r="D5"/>
      <c r="E5" s="25"/>
      <c r="F5" s="17"/>
      <c r="G5" s="17"/>
      <c r="H5" s="16"/>
    </row>
    <row r="6" spans="1:18" s="13" customFormat="1" x14ac:dyDescent="0.25">
      <c r="A6" s="60" t="s">
        <v>57</v>
      </c>
      <c r="B6" s="61"/>
      <c r="C6" s="15">
        <f>SUM(H43)/C12</f>
        <v>4.7499660011196126E-2</v>
      </c>
      <c r="D6"/>
      <c r="E6" s="25"/>
      <c r="F6" s="17"/>
      <c r="G6" s="17"/>
      <c r="H6" s="16"/>
    </row>
    <row r="7" spans="1:18" s="13" customFormat="1" x14ac:dyDescent="0.25">
      <c r="A7" s="60" t="s">
        <v>46</v>
      </c>
      <c r="B7" s="61"/>
      <c r="C7" s="15">
        <f>SUM(H44:H53)/C12</f>
        <v>0.23460272820276895</v>
      </c>
      <c r="D7"/>
      <c r="E7" s="25"/>
      <c r="F7" s="17"/>
      <c r="G7" s="17"/>
      <c r="H7" s="16"/>
    </row>
    <row r="8" spans="1:18" s="13" customFormat="1" ht="27.75" customHeight="1" x14ac:dyDescent="0.25">
      <c r="A8" s="59" t="s">
        <v>58</v>
      </c>
      <c r="B8" s="59"/>
      <c r="C8" s="20">
        <f>(C13-SUM(H36:H46))/C12</f>
        <v>2.1719290202979864</v>
      </c>
      <c r="D8" s="24"/>
      <c r="E8" s="16"/>
      <c r="F8" s="17"/>
      <c r="G8" s="17"/>
      <c r="H8" s="16"/>
    </row>
    <row r="9" spans="1:18" s="13" customFormat="1" ht="12.75" x14ac:dyDescent="0.25">
      <c r="A9" s="58" t="s">
        <v>8</v>
      </c>
      <c r="B9" s="58"/>
      <c r="C9" s="18">
        <v>33934941</v>
      </c>
      <c r="D9" s="26"/>
      <c r="E9" s="17"/>
      <c r="F9" s="17"/>
      <c r="G9" s="17"/>
      <c r="H9" s="16"/>
    </row>
    <row r="10" spans="1:18" s="13" customFormat="1" ht="12.75" x14ac:dyDescent="0.25">
      <c r="A10" s="58" t="s">
        <v>6</v>
      </c>
      <c r="B10" s="58"/>
      <c r="C10" s="18">
        <v>0</v>
      </c>
      <c r="F10" s="17"/>
      <c r="H10" s="42"/>
    </row>
    <row r="11" spans="1:18" s="13" customFormat="1" ht="12.75" x14ac:dyDescent="0.25">
      <c r="A11" s="58" t="s">
        <v>7</v>
      </c>
      <c r="B11" s="58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58" t="s">
        <v>9</v>
      </c>
      <c r="B12" s="58"/>
      <c r="C12" s="18">
        <f>C9+C10-C11</f>
        <v>33934941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59" t="s">
        <v>5</v>
      </c>
      <c r="B13" s="59"/>
      <c r="C13" s="11">
        <f t="array" ref="C13">SUM(ABS(Table132[Target allocation ($)]))</f>
        <v>97326995.789999962</v>
      </c>
      <c r="D13" s="23" t="s">
        <v>24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36</v>
      </c>
      <c r="B16" s="39" t="s">
        <v>14</v>
      </c>
      <c r="C16" s="52">
        <v>544.45000000000005</v>
      </c>
      <c r="D16" s="39">
        <v>924</v>
      </c>
      <c r="E16" s="28">
        <v>987</v>
      </c>
      <c r="F16" s="38">
        <f>Table132[[#This Row],[New position]]-Table132[[#This Row],[Old position]]</f>
        <v>63</v>
      </c>
      <c r="G16" s="39">
        <v>0.33300000000000002</v>
      </c>
      <c r="H16" s="52">
        <v>537299.32999999996</v>
      </c>
      <c r="I16" s="29"/>
      <c r="J16"/>
      <c r="L16"/>
      <c r="M16"/>
      <c r="N16"/>
      <c r="O16"/>
      <c r="P16"/>
      <c r="Q16"/>
      <c r="R16"/>
    </row>
    <row r="17" spans="1:18" x14ac:dyDescent="0.25">
      <c r="A17" s="39" t="s">
        <v>34</v>
      </c>
      <c r="B17" s="39" t="s">
        <v>14</v>
      </c>
      <c r="C17" s="52">
        <v>240.54</v>
      </c>
      <c r="D17" s="39">
        <v>2119</v>
      </c>
      <c r="E17" s="28">
        <v>2234</v>
      </c>
      <c r="F17" s="38">
        <f>Table132[[#This Row],[New position]]-Table132[[#This Row],[Old position]]</f>
        <v>115</v>
      </c>
      <c r="G17" s="39">
        <v>0.33300000000000002</v>
      </c>
      <c r="H17" s="52">
        <v>537299.32999999996</v>
      </c>
      <c r="I17" s="30"/>
      <c r="K17" s="55"/>
      <c r="L17"/>
      <c r="M17"/>
      <c r="N17"/>
      <c r="O17"/>
      <c r="P17"/>
      <c r="Q17"/>
      <c r="R17"/>
    </row>
    <row r="18" spans="1:18" x14ac:dyDescent="0.25">
      <c r="A18" s="39" t="s">
        <v>41</v>
      </c>
      <c r="B18" s="39" t="s">
        <v>14</v>
      </c>
      <c r="C18" s="52">
        <v>109.32</v>
      </c>
      <c r="D18" s="39">
        <v>4586</v>
      </c>
      <c r="E18" s="39">
        <v>4915</v>
      </c>
      <c r="F18" s="38">
        <f>Table132[[#This Row],[New position]]-Table132[[#This Row],[Old position]]</f>
        <v>329</v>
      </c>
      <c r="G18" s="39">
        <v>0.33300000000000002</v>
      </c>
      <c r="H18" s="52">
        <v>537299.32999999996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37</v>
      </c>
      <c r="B19" s="39" t="s">
        <v>14</v>
      </c>
      <c r="C19" s="52">
        <v>181</v>
      </c>
      <c r="D19" s="39">
        <v>2802</v>
      </c>
      <c r="E19" s="28">
        <v>2969</v>
      </c>
      <c r="F19" s="38">
        <f>Table132[[#This Row],[New position]]-Table132[[#This Row],[Old position]]</f>
        <v>167</v>
      </c>
      <c r="G19" s="39">
        <v>0.33300000000000002</v>
      </c>
      <c r="H19" s="52">
        <v>537299.32999999996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40</v>
      </c>
      <c r="B20" s="39" t="s">
        <v>14</v>
      </c>
      <c r="C20" s="52">
        <v>70.84</v>
      </c>
      <c r="D20" s="39">
        <v>7157</v>
      </c>
      <c r="E20" s="28">
        <v>7585</v>
      </c>
      <c r="F20" s="38">
        <f>Table132[[#This Row],[New position]]-Table132[[#This Row],[Old position]]</f>
        <v>428</v>
      </c>
      <c r="G20" s="39">
        <v>0.33300000000000002</v>
      </c>
      <c r="H20" s="52">
        <v>537299.32999999996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30</v>
      </c>
      <c r="B21" s="39" t="s">
        <v>14</v>
      </c>
      <c r="C21" s="52">
        <v>112.34</v>
      </c>
      <c r="D21" s="39">
        <v>4559</v>
      </c>
      <c r="E21" s="28">
        <v>4783</v>
      </c>
      <c r="F21" s="38">
        <f>Table132[[#This Row],[New position]]-Table132[[#This Row],[Old position]]</f>
        <v>224</v>
      </c>
      <c r="G21" s="39">
        <v>0.33300000000000002</v>
      </c>
      <c r="H21" s="52">
        <v>537299.32999999996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60</v>
      </c>
      <c r="B22" s="39" t="s">
        <v>14</v>
      </c>
      <c r="C22" s="52">
        <v>357.28</v>
      </c>
      <c r="D22" s="39">
        <v>1419</v>
      </c>
      <c r="E22" s="28">
        <v>1504</v>
      </c>
      <c r="F22" s="38">
        <f>Table132[[#This Row],[New position]]-Table132[[#This Row],[Old position]]</f>
        <v>85</v>
      </c>
      <c r="G22" s="39">
        <v>0.33300000000000002</v>
      </c>
      <c r="H22" s="52">
        <v>537299.32999999996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27</v>
      </c>
      <c r="B23" s="39" t="s">
        <v>14</v>
      </c>
      <c r="C23" s="52">
        <v>212.24</v>
      </c>
      <c r="D23" s="39">
        <v>2389</v>
      </c>
      <c r="E23" s="39">
        <v>2532</v>
      </c>
      <c r="F23" s="38">
        <f>Table132[[#This Row],[New position]]-Table132[[#This Row],[Old position]]</f>
        <v>143</v>
      </c>
      <c r="G23" s="39">
        <v>0.33300000000000002</v>
      </c>
      <c r="H23" s="52">
        <v>537299.32999999996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33</v>
      </c>
      <c r="B24" s="39" t="s">
        <v>14</v>
      </c>
      <c r="C24" s="52">
        <v>188.84</v>
      </c>
      <c r="D24" s="39">
        <v>2671</v>
      </c>
      <c r="E24" s="39">
        <v>2845</v>
      </c>
      <c r="F24" s="38">
        <f>Table132[[#This Row],[New position]]-Table132[[#This Row],[Old position]]</f>
        <v>174</v>
      </c>
      <c r="G24" s="39">
        <v>0.33300000000000002</v>
      </c>
      <c r="H24" s="52">
        <v>537299.32999999996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59</v>
      </c>
      <c r="B25" s="39" t="s">
        <v>14</v>
      </c>
      <c r="C25" s="52">
        <v>162.54</v>
      </c>
      <c r="D25" s="39">
        <v>3140</v>
      </c>
      <c r="E25" s="28">
        <v>3306</v>
      </c>
      <c r="F25" s="38">
        <f>Table132[[#This Row],[New position]]-Table132[[#This Row],[Old position]]</f>
        <v>166</v>
      </c>
      <c r="G25" s="39">
        <v>0.33300000000000002</v>
      </c>
      <c r="H25" s="52">
        <v>537299.32999999996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68</v>
      </c>
      <c r="B26" s="39" t="s">
        <v>14</v>
      </c>
      <c r="C26" s="52">
        <v>442.04</v>
      </c>
      <c r="D26" s="39">
        <v>1143</v>
      </c>
      <c r="E26" s="28">
        <v>1215</v>
      </c>
      <c r="F26" s="38">
        <f>Table132[[#This Row],[New position]]-Table132[[#This Row],[Old position]]</f>
        <v>72</v>
      </c>
      <c r="G26" s="39">
        <v>0.33300000000000002</v>
      </c>
      <c r="H26" s="52">
        <v>537299.32999999996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69</v>
      </c>
      <c r="B27" s="39" t="s">
        <v>14</v>
      </c>
      <c r="C27" s="52">
        <v>182.86</v>
      </c>
      <c r="D27" s="39">
        <v>2743</v>
      </c>
      <c r="E27" s="28">
        <v>2938</v>
      </c>
      <c r="F27" s="38">
        <f>Table132[[#This Row],[New position]]-Table132[[#This Row],[Old position]]</f>
        <v>195</v>
      </c>
      <c r="G27" s="39">
        <v>0.33300000000000002</v>
      </c>
      <c r="H27" s="52">
        <v>537299.32999999996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64</v>
      </c>
      <c r="B28" s="39" t="s">
        <v>14</v>
      </c>
      <c r="C28" s="52">
        <v>3104.83</v>
      </c>
      <c r="D28" s="39">
        <v>165</v>
      </c>
      <c r="E28" s="39">
        <v>173</v>
      </c>
      <c r="F28" s="38">
        <f>Table132[[#This Row],[New position]]-Table132[[#This Row],[Old position]]</f>
        <v>8</v>
      </c>
      <c r="G28" s="39">
        <v>0.33300000000000002</v>
      </c>
      <c r="H28" s="52">
        <v>537299.32999999996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39</v>
      </c>
      <c r="B29" s="39" t="s">
        <v>14</v>
      </c>
      <c r="C29" s="52">
        <v>215.53</v>
      </c>
      <c r="D29" s="39">
        <v>2369</v>
      </c>
      <c r="E29" s="39">
        <v>2493</v>
      </c>
      <c r="F29" s="38">
        <f>Table132[[#This Row],[New position]]-Table132[[#This Row],[Old position]]</f>
        <v>124</v>
      </c>
      <c r="G29" s="39">
        <v>0.33300000000000002</v>
      </c>
      <c r="H29" s="52">
        <v>537299.32999999996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32</v>
      </c>
      <c r="B30" s="39" t="s">
        <v>14</v>
      </c>
      <c r="C30" s="52">
        <v>237.74</v>
      </c>
      <c r="D30" s="39">
        <v>2185</v>
      </c>
      <c r="E30" s="28">
        <v>2260</v>
      </c>
      <c r="F30" s="38">
        <f>Table132[[#This Row],[New position]]-Table132[[#This Row],[Old position]]</f>
        <v>75</v>
      </c>
      <c r="G30" s="39">
        <v>0.33300000000000002</v>
      </c>
      <c r="H30" s="52">
        <v>537299.32999999996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11</v>
      </c>
      <c r="B31" s="39" t="s">
        <v>14</v>
      </c>
      <c r="C31" s="52">
        <v>360.34</v>
      </c>
      <c r="D31" s="39">
        <v>128863</v>
      </c>
      <c r="E31" s="28">
        <v>134198</v>
      </c>
      <c r="F31" s="38">
        <f>Table132[[#This Row],[New position]]-Table132[[#This Row],[Old position]]</f>
        <v>5335</v>
      </c>
      <c r="G31" s="39">
        <v>30</v>
      </c>
      <c r="H31" s="45">
        <v>48356944.789999999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61</v>
      </c>
      <c r="B32" s="39" t="s">
        <v>14</v>
      </c>
      <c r="C32" s="52">
        <v>92.32</v>
      </c>
      <c r="D32" s="39">
        <v>32993</v>
      </c>
      <c r="E32" s="39">
        <v>34920</v>
      </c>
      <c r="F32" s="38">
        <f>Table132[[#This Row],[New position]]-Table132[[#This Row],[Old position]]</f>
        <v>1927</v>
      </c>
      <c r="G32" s="39">
        <v>2</v>
      </c>
      <c r="H32" s="45">
        <v>3223796.32</v>
      </c>
      <c r="I32" s="30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97.05</v>
      </c>
      <c r="D33" s="39">
        <v>29285</v>
      </c>
      <c r="E33" s="39">
        <v>29285</v>
      </c>
      <c r="F33" s="38">
        <f>Table132[[#This Row],[New position]]-Table132[[#This Row],[Old position]]</f>
        <v>0</v>
      </c>
      <c r="G33" s="39">
        <v>2</v>
      </c>
      <c r="H33" s="45">
        <f>Table132[[#This Row],[New position]]*Table132[[#This Row],[Last_Price]]</f>
        <v>2842109.25</v>
      </c>
      <c r="I33" s="31"/>
      <c r="L33"/>
      <c r="M33"/>
      <c r="N33"/>
      <c r="O33"/>
      <c r="P33"/>
      <c r="Q33"/>
      <c r="R33"/>
    </row>
    <row r="34" spans="1:18" x14ac:dyDescent="0.25">
      <c r="A34" s="39" t="s">
        <v>28</v>
      </c>
      <c r="B34" s="39" t="s">
        <v>14</v>
      </c>
      <c r="C34" s="52">
        <v>49.83</v>
      </c>
      <c r="D34" s="39">
        <v>57006</v>
      </c>
      <c r="E34" s="39">
        <v>57006</v>
      </c>
      <c r="F34" s="38">
        <f>Table132[[#This Row],[New position]]-Table132[[#This Row],[Old position]]</f>
        <v>0</v>
      </c>
      <c r="G34" s="39">
        <v>2</v>
      </c>
      <c r="H34" s="45">
        <f>Table132[[#This Row],[New position]]*Table132[[#This Row],[Last_Price]]</f>
        <v>2840608.98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29</v>
      </c>
      <c r="B35" s="39" t="s">
        <v>14</v>
      </c>
      <c r="C35" s="52">
        <v>73.83</v>
      </c>
      <c r="D35" s="39">
        <v>38439</v>
      </c>
      <c r="E35" s="39">
        <v>38439</v>
      </c>
      <c r="F35" s="38">
        <f>Table132[[#This Row],[New position]]-Table132[[#This Row],[Old position]]</f>
        <v>0</v>
      </c>
      <c r="G35" s="39">
        <v>2</v>
      </c>
      <c r="H35" s="45">
        <f>Table132[[#This Row],[New position]]*Table132[[#This Row],[Last_Price]]</f>
        <v>2837951.37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31</v>
      </c>
      <c r="B36" s="39" t="s">
        <v>14</v>
      </c>
      <c r="C36" s="52">
        <v>15.92</v>
      </c>
      <c r="D36" s="39">
        <v>177689</v>
      </c>
      <c r="E36" s="39">
        <v>177689</v>
      </c>
      <c r="F36" s="38">
        <f>Table132[[#This Row],[New position]]-Table132[[#This Row],[Old position]]</f>
        <v>0</v>
      </c>
      <c r="G36" s="39">
        <v>2</v>
      </c>
      <c r="H36" s="45">
        <f>Table132[[#This Row],[New position]]*Table132[[#This Row],[Last_Price]]</f>
        <v>2828808.88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47</v>
      </c>
      <c r="B37" s="39" t="s">
        <v>14</v>
      </c>
      <c r="C37" s="52">
        <v>48.67</v>
      </c>
      <c r="D37" s="39">
        <v>57996</v>
      </c>
      <c r="E37" s="39">
        <v>57996</v>
      </c>
      <c r="F37" s="38">
        <f>Table132[[#This Row],[New position]]-Table132[[#This Row],[Old position]]</f>
        <v>0</v>
      </c>
      <c r="G37" s="39">
        <v>2</v>
      </c>
      <c r="H37" s="45">
        <f>Table132[[#This Row],[New position]]*Table132[[#This Row],[Last_Price]]</f>
        <v>2822665.3200000003</v>
      </c>
      <c r="I37" s="32"/>
      <c r="L37"/>
      <c r="M37"/>
      <c r="N37"/>
      <c r="O37"/>
      <c r="P37"/>
      <c r="Q37"/>
      <c r="R37"/>
    </row>
    <row r="38" spans="1:18" x14ac:dyDescent="0.25">
      <c r="A38" s="39" t="s">
        <v>35</v>
      </c>
      <c r="B38" s="39" t="s">
        <v>14</v>
      </c>
      <c r="C38" s="52">
        <v>48.81</v>
      </c>
      <c r="D38" s="39">
        <v>57363</v>
      </c>
      <c r="E38" s="39">
        <v>57363</v>
      </c>
      <c r="F38" s="38">
        <f>Table132[[#This Row],[New position]]-Table132[[#This Row],[Old position]]</f>
        <v>0</v>
      </c>
      <c r="G38" s="39">
        <v>2</v>
      </c>
      <c r="H38" s="45">
        <f>Table132[[#This Row],[New position]]*Table132[[#This Row],[Last_Price]]</f>
        <v>2799888.0300000003</v>
      </c>
      <c r="I38" s="32"/>
      <c r="J38" s="27"/>
      <c r="L38"/>
      <c r="M38"/>
      <c r="N38"/>
      <c r="O38"/>
      <c r="P38"/>
      <c r="Q38"/>
      <c r="R38"/>
    </row>
    <row r="39" spans="1:18" x14ac:dyDescent="0.25">
      <c r="A39" s="39" t="s">
        <v>38</v>
      </c>
      <c r="B39" s="39" t="s">
        <v>15</v>
      </c>
      <c r="C39" s="52">
        <v>104160</v>
      </c>
      <c r="D39" s="39">
        <v>27</v>
      </c>
      <c r="E39" s="39">
        <v>27</v>
      </c>
      <c r="F39" s="38">
        <f>Table132[[#This Row],[New position]]-Table132[[#This Row],[Old position]]</f>
        <v>0</v>
      </c>
      <c r="G39" s="39">
        <v>2</v>
      </c>
      <c r="H39" s="45">
        <f>Table132[[#This Row],[New position]]*Table132[[#This Row],[Last_Price]]</f>
        <v>2812320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42</v>
      </c>
      <c r="B40" s="39" t="s">
        <v>15</v>
      </c>
      <c r="C40" s="52">
        <v>104925</v>
      </c>
      <c r="D40" s="39">
        <v>27</v>
      </c>
      <c r="E40" s="39">
        <v>27</v>
      </c>
      <c r="F40" s="38">
        <f>Table132[[#This Row],[New position]]-Table132[[#This Row],[Old position]]</f>
        <v>0</v>
      </c>
      <c r="G40" s="39">
        <v>2</v>
      </c>
      <c r="H40" s="45">
        <f>Table132[[#This Row],[New position]]*Table132[[#This Row],[Last_Price]]</f>
        <v>2832975</v>
      </c>
      <c r="I40" s="31"/>
      <c r="L40"/>
      <c r="M40"/>
      <c r="N40"/>
      <c r="O40"/>
      <c r="P40"/>
      <c r="Q40"/>
      <c r="R40"/>
    </row>
    <row r="41" spans="1:18" x14ac:dyDescent="0.25">
      <c r="A41" s="39" t="s">
        <v>43</v>
      </c>
      <c r="B41" s="39" t="s">
        <v>15</v>
      </c>
      <c r="C41" s="52">
        <v>115490</v>
      </c>
      <c r="D41" s="39">
        <v>24</v>
      </c>
      <c r="E41" s="39">
        <v>24</v>
      </c>
      <c r="F41" s="38">
        <f>Table132[[#This Row],[New position]]-Table132[[#This Row],[Old position]]</f>
        <v>0</v>
      </c>
      <c r="G41" s="39">
        <v>2</v>
      </c>
      <c r="H41" s="45">
        <f>Table132[[#This Row],[New position]]*Table132[[#This Row],[Last_Price]]</f>
        <v>2771760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65</v>
      </c>
      <c r="B42" s="39" t="s">
        <v>15</v>
      </c>
      <c r="C42" s="52">
        <v>93950</v>
      </c>
      <c r="D42" s="39">
        <v>29</v>
      </c>
      <c r="E42" s="39">
        <v>29</v>
      </c>
      <c r="F42" s="38">
        <f>Table132[[#This Row],[New position]]-Table132[[#This Row],[Old position]]</f>
        <v>0</v>
      </c>
      <c r="G42" s="39">
        <v>2</v>
      </c>
      <c r="H42" s="45">
        <f>Table132[[#This Row],[New position]]*Table132[[#This Row],[Last_Price]]</f>
        <v>2724550</v>
      </c>
      <c r="I42" s="32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35.47</v>
      </c>
      <c r="D43" s="39">
        <v>38939</v>
      </c>
      <c r="E43" s="39">
        <v>45444</v>
      </c>
      <c r="F43" s="38">
        <f>Table132[[#This Row],[New position]]-Table132[[#This Row],[Old position]]</f>
        <v>6505</v>
      </c>
      <c r="G43" s="39">
        <v>1</v>
      </c>
      <c r="H43" s="45">
        <v>1611898.16</v>
      </c>
      <c r="I43" s="33"/>
      <c r="L43"/>
      <c r="M43"/>
      <c r="N43"/>
      <c r="O43"/>
      <c r="P43"/>
      <c r="Q43"/>
      <c r="R43"/>
    </row>
    <row r="44" spans="1:18" x14ac:dyDescent="0.25">
      <c r="A44" s="39" t="s">
        <v>48</v>
      </c>
      <c r="B44" s="39" t="s">
        <v>15</v>
      </c>
      <c r="C44" s="52">
        <v>90235.12</v>
      </c>
      <c r="D44" s="39">
        <v>8</v>
      </c>
      <c r="E44" s="39">
        <v>9</v>
      </c>
      <c r="F44" s="38">
        <f>Table132[[#This Row],[New position]]-Table132[[#This Row],[Old position]]</f>
        <v>1</v>
      </c>
      <c r="G44" s="39">
        <v>0.5</v>
      </c>
      <c r="H44" s="45">
        <v>805949.08</v>
      </c>
      <c r="I44" s="34"/>
      <c r="L44"/>
      <c r="M44"/>
      <c r="N44"/>
      <c r="O44"/>
      <c r="P44"/>
      <c r="Q44"/>
      <c r="R44"/>
    </row>
    <row r="45" spans="1:18" x14ac:dyDescent="0.25">
      <c r="A45" s="39" t="s">
        <v>49</v>
      </c>
      <c r="B45" s="39" t="s">
        <v>15</v>
      </c>
      <c r="C45" s="52">
        <v>92333.62</v>
      </c>
      <c r="D45" s="39">
        <v>8</v>
      </c>
      <c r="E45" s="39">
        <v>9</v>
      </c>
      <c r="F45" s="38">
        <f>Table132[[#This Row],[New position]]-Table132[[#This Row],[Old position]]</f>
        <v>1</v>
      </c>
      <c r="G45" s="39">
        <v>0.5</v>
      </c>
      <c r="H45" s="45">
        <v>805949.08</v>
      </c>
      <c r="I45" s="32"/>
      <c r="L45"/>
      <c r="M45"/>
      <c r="N45"/>
      <c r="O45"/>
      <c r="P45"/>
      <c r="Q45"/>
      <c r="R45"/>
    </row>
    <row r="46" spans="1:18" x14ac:dyDescent="0.25">
      <c r="A46" s="39" t="s">
        <v>50</v>
      </c>
      <c r="B46" s="39" t="s">
        <v>15</v>
      </c>
      <c r="C46" s="52">
        <v>130082.4</v>
      </c>
      <c r="D46" s="39">
        <v>5</v>
      </c>
      <c r="E46" s="39">
        <v>6</v>
      </c>
      <c r="F46" s="38">
        <f>Table132[[#This Row],[New position]]-Table132[[#This Row],[Old position]]</f>
        <v>1</v>
      </c>
      <c r="G46" s="39">
        <v>0.5</v>
      </c>
      <c r="H46" s="45">
        <v>805949.08</v>
      </c>
      <c r="I46" s="31"/>
      <c r="L46"/>
      <c r="M46"/>
      <c r="N46"/>
      <c r="O46"/>
      <c r="P46"/>
      <c r="Q46"/>
      <c r="R46"/>
    </row>
    <row r="47" spans="1:18" x14ac:dyDescent="0.25">
      <c r="A47" s="39" t="s">
        <v>51</v>
      </c>
      <c r="B47" s="39" t="s">
        <v>15</v>
      </c>
      <c r="C47" s="52">
        <v>54437.54</v>
      </c>
      <c r="D47" s="39">
        <v>13</v>
      </c>
      <c r="E47" s="39">
        <v>13</v>
      </c>
      <c r="F47" s="38">
        <f>Table132[[#This Row],[New position]]-Table132[[#This Row],[Old position]]</f>
        <v>0</v>
      </c>
      <c r="G47" s="39">
        <v>0.5</v>
      </c>
      <c r="H47" s="45">
        <f>Table132[[#This Row],[Last_Price]]*Table132[[#This Row],[New position]]</f>
        <v>707688.02</v>
      </c>
      <c r="I47" s="30"/>
      <c r="L47"/>
      <c r="M47"/>
      <c r="N47"/>
      <c r="O47"/>
      <c r="P47"/>
      <c r="Q47"/>
      <c r="R47"/>
    </row>
    <row r="48" spans="1:18" x14ac:dyDescent="0.25">
      <c r="A48" s="39" t="s">
        <v>52</v>
      </c>
      <c r="B48" s="39" t="s">
        <v>15</v>
      </c>
      <c r="C48" s="52">
        <v>96025</v>
      </c>
      <c r="D48" s="39">
        <v>7</v>
      </c>
      <c r="E48" s="39">
        <v>8</v>
      </c>
      <c r="F48" s="38">
        <f>Table132[[#This Row],[New position]]-Table132[[#This Row],[Old position]]</f>
        <v>1</v>
      </c>
      <c r="G48" s="39">
        <v>0.5</v>
      </c>
      <c r="H48" s="45">
        <v>805949.08</v>
      </c>
      <c r="I48" s="31"/>
      <c r="L48"/>
      <c r="M48"/>
      <c r="N48"/>
      <c r="O48"/>
      <c r="P48"/>
      <c r="Q48"/>
      <c r="R48"/>
    </row>
    <row r="49" spans="1:18" x14ac:dyDescent="0.25">
      <c r="A49" s="39" t="s">
        <v>62</v>
      </c>
      <c r="B49" s="39" t="s">
        <v>15</v>
      </c>
      <c r="C49" s="52">
        <v>7010</v>
      </c>
      <c r="D49" s="39">
        <v>99</v>
      </c>
      <c r="E49" s="39">
        <v>115</v>
      </c>
      <c r="F49" s="38">
        <f>Table132[[#This Row],[New position]]-Table132[[#This Row],[Old position]]</f>
        <v>16</v>
      </c>
      <c r="G49" s="39">
        <v>0.5</v>
      </c>
      <c r="H49" s="45">
        <v>805949.08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70</v>
      </c>
      <c r="B50" s="39" t="s">
        <v>15</v>
      </c>
      <c r="C50" s="52">
        <v>76160</v>
      </c>
      <c r="D50" s="39">
        <v>9</v>
      </c>
      <c r="E50" s="39">
        <v>11</v>
      </c>
      <c r="F50" s="38">
        <f>Table132[[#This Row],[New position]]-Table132[[#This Row],[Old position]]</f>
        <v>2</v>
      </c>
      <c r="G50" s="39">
        <v>0.5</v>
      </c>
      <c r="H50" s="45">
        <v>805949.08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71</v>
      </c>
      <c r="B51" s="39" t="s">
        <v>15</v>
      </c>
      <c r="C51" s="52">
        <v>30027.22</v>
      </c>
      <c r="D51" s="39">
        <v>23</v>
      </c>
      <c r="E51" s="39">
        <v>27</v>
      </c>
      <c r="F51" s="38">
        <f>Table132[[#This Row],[New position]]-Table132[[#This Row],[Old position]]</f>
        <v>4</v>
      </c>
      <c r="G51" s="39">
        <v>0.5</v>
      </c>
      <c r="H51" s="45">
        <v>805949.08</v>
      </c>
      <c r="I51" s="31"/>
      <c r="L51"/>
      <c r="M51"/>
      <c r="N51"/>
      <c r="O51"/>
      <c r="P51"/>
      <c r="Q51"/>
      <c r="R51"/>
    </row>
    <row r="52" spans="1:18" x14ac:dyDescent="0.25">
      <c r="A52" s="39" t="s">
        <v>66</v>
      </c>
      <c r="B52" s="39" t="s">
        <v>15</v>
      </c>
      <c r="C52" s="52">
        <v>11670</v>
      </c>
      <c r="D52" s="39">
        <v>62</v>
      </c>
      <c r="E52" s="39">
        <v>69</v>
      </c>
      <c r="F52" s="38">
        <f>Table132[[#This Row],[New position]]-Table132[[#This Row],[Old position]]</f>
        <v>7</v>
      </c>
      <c r="G52" s="39">
        <v>0.5</v>
      </c>
      <c r="H52" s="45">
        <v>805949.08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67</v>
      </c>
      <c r="B53" s="39" t="s">
        <v>15</v>
      </c>
      <c r="C53" s="52">
        <v>127307</v>
      </c>
      <c r="D53" s="39">
        <v>5</v>
      </c>
      <c r="E53" s="39">
        <v>6</v>
      </c>
      <c r="F53" s="38">
        <f>Table132[[#This Row],[New position]]-Table132[[#This Row],[Old position]]</f>
        <v>1</v>
      </c>
      <c r="G53" s="39">
        <v>0.5</v>
      </c>
      <c r="H53" s="45">
        <v>805949.08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41"/>
      <c r="F54" s="36"/>
      <c r="G54" s="39"/>
      <c r="H54" s="52"/>
      <c r="I54" s="56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56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56"/>
      <c r="L56"/>
      <c r="M56"/>
      <c r="N56"/>
      <c r="O56"/>
      <c r="P56"/>
      <c r="Q56"/>
      <c r="R56"/>
    </row>
    <row r="57" spans="1:18" x14ac:dyDescent="0.25">
      <c r="A57" s="39" t="s">
        <v>53</v>
      </c>
      <c r="B57" s="39"/>
      <c r="C57" s="39"/>
      <c r="D57" s="39"/>
      <c r="E57" s="28"/>
      <c r="F57" s="53" t="s">
        <v>53</v>
      </c>
      <c r="G57" s="39">
        <f>SUM(G16:G32)</f>
        <v>36.995000000000005</v>
      </c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54</v>
      </c>
      <c r="B58" s="50"/>
      <c r="C58" s="51"/>
      <c r="D58" s="40"/>
      <c r="E58" s="41"/>
      <c r="F58" s="53" t="s">
        <v>54</v>
      </c>
      <c r="G58" s="39">
        <f>SUM(G33:G42)</f>
        <v>20</v>
      </c>
      <c r="H58" s="52"/>
      <c r="I58" s="32"/>
      <c r="L58"/>
      <c r="M58"/>
      <c r="N58"/>
      <c r="O58"/>
      <c r="P58"/>
      <c r="Q58"/>
      <c r="R58"/>
    </row>
    <row r="59" spans="1:18" x14ac:dyDescent="0.25">
      <c r="A59" s="50" t="s">
        <v>56</v>
      </c>
      <c r="B59" s="39"/>
      <c r="C59" s="39"/>
      <c r="D59" s="39"/>
      <c r="E59" s="28"/>
      <c r="F59" s="54" t="s">
        <v>56</v>
      </c>
      <c r="G59" s="39">
        <f>SUM(G43)</f>
        <v>1</v>
      </c>
      <c r="H59" s="39"/>
      <c r="I59" s="33"/>
      <c r="L59"/>
      <c r="M59"/>
      <c r="N59"/>
      <c r="O59"/>
      <c r="P59"/>
      <c r="Q59"/>
      <c r="R59"/>
    </row>
    <row r="60" spans="1:18" x14ac:dyDescent="0.25">
      <c r="A60" s="39" t="s">
        <v>55</v>
      </c>
      <c r="B60" s="39"/>
      <c r="C60" s="39"/>
      <c r="D60" s="39"/>
      <c r="E60" s="28"/>
      <c r="F60" s="53" t="s">
        <v>55</v>
      </c>
      <c r="G60" s="39">
        <f>SUM(G44:G53)</f>
        <v>5</v>
      </c>
      <c r="H60" s="39"/>
      <c r="I60" s="34"/>
      <c r="L60"/>
      <c r="M60"/>
      <c r="N60"/>
      <c r="O60"/>
      <c r="P60"/>
      <c r="Q60"/>
      <c r="R60"/>
    </row>
    <row r="61" spans="1:18" x14ac:dyDescent="0.25">
      <c r="A61" s="39" t="s">
        <v>25</v>
      </c>
      <c r="B61" s="39"/>
      <c r="C61" s="39"/>
      <c r="D61" s="39"/>
      <c r="E61" s="28"/>
      <c r="F61" s="53" t="s">
        <v>25</v>
      </c>
      <c r="G61" s="39">
        <f t="array" ref="G61">100-SUM(ABS(G16:G53))</f>
        <v>37.004999999999995</v>
      </c>
      <c r="H61" s="39"/>
      <c r="I61" s="32"/>
      <c r="L61"/>
      <c r="M61"/>
      <c r="N61"/>
      <c r="O61"/>
      <c r="P61"/>
      <c r="Q61"/>
      <c r="R61"/>
    </row>
    <row r="62" spans="1:18" x14ac:dyDescent="0.25">
      <c r="A62" s="28" t="s">
        <v>63</v>
      </c>
      <c r="B62" s="28"/>
      <c r="C62" s="37"/>
      <c r="D62" s="28"/>
      <c r="E62" s="28"/>
      <c r="F62" s="36"/>
      <c r="G62" s="39">
        <f>C12*G61/100</f>
        <v>12557624.917049998</v>
      </c>
      <c r="H62" s="45"/>
      <c r="I62" s="35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28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6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44</v>
      </c>
      <c r="D67" s="1"/>
      <c r="E67" s="5" t="s">
        <v>44</v>
      </c>
      <c r="F67" s="1"/>
      <c r="G67" s="5"/>
      <c r="H67" s="46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7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2023-09-29T10:38:00Z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