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619" documentId="14_{A48F4B07-3EF3-43E5-91B2-4CA340E6013A}" xr6:coauthVersionLast="47" xr6:coauthVersionMax="47" xr10:uidLastSave="{5A1A1CCB-B982-4C5D-9E66-ABD0679D9BA9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3" l="1"/>
  <c r="E63" i="3"/>
  <c r="E62" i="3"/>
  <c r="E61" i="3"/>
  <c r="E60" i="3"/>
  <c r="H17" i="3"/>
  <c r="H32" i="3"/>
  <c r="H45" i="3"/>
  <c r="H46" i="3"/>
  <c r="H47" i="3"/>
  <c r="H44" i="3"/>
  <c r="G63" i="3" l="1" a="1"/>
  <c r="G63" i="3" s="1"/>
  <c r="G62" i="3"/>
  <c r="G61" i="3"/>
  <c r="G60" i="3"/>
  <c r="G64" i="3" l="1" a="1"/>
  <c r="F54" i="3"/>
  <c r="F55" i="3"/>
  <c r="G64" i="3" l="1"/>
  <c r="F39" i="3"/>
  <c r="C13" i="3" a="1"/>
  <c r="C13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C12" i="3"/>
  <c r="C7" i="3" l="1"/>
  <c r="C5" i="3"/>
  <c r="C6" i="3"/>
  <c r="C4" i="3"/>
  <c r="C3" i="3"/>
  <c r="C8" i="3"/>
  <c r="C2" i="3"/>
  <c r="G65" i="3"/>
</calcChain>
</file>

<file path=xl/sharedStrings.xml><?xml version="1.0" encoding="utf-8"?>
<sst xmlns="http://schemas.openxmlformats.org/spreadsheetml/2006/main" count="122" uniqueCount="78">
  <si>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</si>
  <si>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</si>
  <si>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</si>
  <si>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</si>
  <si>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</si>
  <si>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</si>
  <si>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</si>
  <si>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</si>
  <si>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</si>
  <si>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</si>
  <si>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</si>
  <si>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</si>
  <si>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</si>
  <si>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</si>
  <si>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</si>
  <si>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</si>
  <si>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</si>
  <si>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</si>
  <si>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</si>
  <si>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</si>
  <si>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</si>
  <si>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</si>
  <si>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</si>
  <si>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</si>
  <si>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</si>
  <si>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</si>
  <si>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</si>
  <si>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</si>
  <si>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</si>
  <si>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</si>
  <si>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</si>
  <si>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</si>
  <si>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</si>
  <si>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</si>
  <si>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</si>
  <si>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</si>
  <si>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</si>
  <si>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</si>
  <si>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</si>
  <si>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</si>
  <si>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</si>
  <si>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</si>
  <si>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</si>
  <si>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</si>
  <si>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</si>
  <si>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</si>
  <si>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</si>
  <si>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</si>
  <si>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</si>
  <si>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</si>
  <si>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</si>
  <si>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</si>
  <si>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</si>
  <si>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</si>
  <si>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</si>
  <si>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</si>
  <si>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XLE</t>
  </si>
  <si>
    <t>Cash Amount</t>
  </si>
  <si>
    <t>BKNG</t>
  </si>
  <si>
    <t>R</t>
  </si>
  <si>
    <t>SCI</t>
  </si>
  <si>
    <t>MCK</t>
  </si>
  <si>
    <t>SB</t>
  </si>
  <si>
    <t>Leverage for QQQ</t>
  </si>
  <si>
    <t>Leverage for Equities (incl. QQQ)</t>
  </si>
  <si>
    <t>FDX</t>
  </si>
  <si>
    <t>COST</t>
  </si>
  <si>
    <t>INTC</t>
  </si>
  <si>
    <t>CMCSA</t>
  </si>
  <si>
    <t>ATVI</t>
  </si>
  <si>
    <t>PL</t>
  </si>
  <si>
    <t>SI</t>
  </si>
  <si>
    <t>KE</t>
  </si>
  <si>
    <t>ZS</t>
  </si>
  <si>
    <t>ZM</t>
  </si>
  <si>
    <t>ZL</t>
  </si>
  <si>
    <t>Reality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</si>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</sst>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0" fillId="2" borderId="1" xfId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0" fillId="2" borderId="1" xfId="0" applyNumberFormat="1" applyFill="1" applyBorder="1"/>
    <xf numFmtId="2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Sheet1!$F$60:$F$64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Sheet1!$G$60:$G$64</c:f>
              <c:numCache>
                <c:formatCode>General</c:formatCode>
                <c:ptCount val="5"/>
                <c:pt idx="0">
                  <c:v>51</c:v>
                </c:pt>
                <c:pt idx="1">
                  <c:v>5</c:v>
                </c:pt>
                <c:pt idx="2">
                  <c:v>0</c:v>
                </c:pt>
                <c:pt idx="3">
                  <c:v>5.0040000000000004</c:v>
                </c:pt>
                <c:pt idx="4">
                  <c:v>38.996000000000002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8" totalsRowShown="0" headerRowDxfId="13" dataDxfId="11" headerRowBorderDxfId="12" tableBorderDxfId="10" totalsRowBorderDxfId="9">
  <autoFilter ref="A15:I68" xr:uid="{00000000-0009-0000-0100-000001000000}"/>
  <sortState xmlns:xlrd2="http://schemas.microsoft.com/office/spreadsheetml/2017/richdata2" ref="A16:I67">
    <sortCondition ref="A15:A6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6"/>
  <sheetViews>
    <sheetView tabSelected="1" topLeftCell="A34" zoomScale="115" zoomScaleNormal="115" workbookViewId="0">
      <selection activeCell="L58" sqref="L5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0" t="s">
        <v>0</v>
      </c>
      <c r="B1" s="60"/>
      <c r="C1" s="12">
        <v>45203</v>
      </c>
      <c r="E1" s="14"/>
      <c r="F1" s="14"/>
      <c r="G1" s="49"/>
      <c r="H1" s="14"/>
    </row>
    <row r="2" spans="1:18" s="13" customFormat="1" x14ac:dyDescent="0.25">
      <c r="A2" s="60" t="s">
        <v>10</v>
      </c>
      <c r="B2" s="60"/>
      <c r="C2" s="15">
        <f>C13/C12</f>
        <v>2.8028793117481783</v>
      </c>
      <c r="D2"/>
      <c r="E2" s="25"/>
      <c r="F2" s="17"/>
      <c r="G2" s="17"/>
      <c r="H2" s="16"/>
    </row>
    <row r="3" spans="1:18" s="13" customFormat="1" x14ac:dyDescent="0.25">
      <c r="A3" s="62" t="s">
        <v>64</v>
      </c>
      <c r="B3" s="63"/>
      <c r="C3" s="15">
        <f>SUM(H16:H33)/C12</f>
        <v>2.4054973770107031</v>
      </c>
      <c r="D3"/>
      <c r="E3" s="25"/>
      <c r="F3" s="17"/>
      <c r="G3" s="17"/>
      <c r="H3" s="16"/>
    </row>
    <row r="4" spans="1:18" s="13" customFormat="1" x14ac:dyDescent="0.25">
      <c r="A4" s="62" t="s">
        <v>63</v>
      </c>
      <c r="B4" s="63"/>
      <c r="C4" s="15">
        <f>SUM(H32)/C12</f>
        <v>2.1954896434568649</v>
      </c>
      <c r="D4"/>
      <c r="E4" s="25"/>
      <c r="F4" s="17"/>
      <c r="G4" s="17"/>
      <c r="H4" s="16"/>
    </row>
    <row r="5" spans="1:18" s="13" customFormat="1" x14ac:dyDescent="0.25">
      <c r="A5" s="62" t="s">
        <v>41</v>
      </c>
      <c r="B5" s="63"/>
      <c r="C5" s="15">
        <f>SUM(H34:H43)/C12</f>
        <v>0.1708683489395143</v>
      </c>
      <c r="D5"/>
      <c r="E5" s="25"/>
      <c r="F5" s="17"/>
      <c r="G5" s="17"/>
      <c r="H5" s="16"/>
    </row>
    <row r="6" spans="1:18" s="13" customFormat="1" x14ac:dyDescent="0.25">
      <c r="A6" s="62" t="s">
        <v>52</v>
      </c>
      <c r="B6" s="63"/>
      <c r="C6" s="15">
        <f>0/C12</f>
        <v>0</v>
      </c>
      <c r="D6"/>
      <c r="E6" s="25"/>
      <c r="F6" s="17"/>
      <c r="G6" s="17"/>
      <c r="H6" s="16"/>
    </row>
    <row r="7" spans="1:18" s="13" customFormat="1" x14ac:dyDescent="0.25">
      <c r="A7" s="62" t="s">
        <v>42</v>
      </c>
      <c r="B7" s="63"/>
      <c r="C7" s="15">
        <f>SUM(H44:H55)/C12</f>
        <v>0.22651358579796169</v>
      </c>
      <c r="D7"/>
      <c r="E7" s="25"/>
      <c r="F7" s="17"/>
      <c r="G7" s="17"/>
      <c r="H7" s="16"/>
    </row>
    <row r="8" spans="1:18" s="13" customFormat="1" ht="27.75" customHeight="1" x14ac:dyDescent="0.25">
      <c r="A8" s="61" t="s">
        <v>53</v>
      </c>
      <c r="B8" s="61"/>
      <c r="C8" s="20">
        <f>(C13-SUM(H34:H43))/C12</f>
        <v>2.6320109628086636</v>
      </c>
      <c r="D8" s="24"/>
      <c r="E8" s="16"/>
      <c r="F8" s="17"/>
      <c r="G8" s="17"/>
      <c r="H8" s="16"/>
    </row>
    <row r="9" spans="1:18" s="13" customFormat="1" ht="12.75" x14ac:dyDescent="0.25">
      <c r="A9" s="60" t="s">
        <v>8</v>
      </c>
      <c r="B9" s="60"/>
      <c r="C9" s="18">
        <v>32201237</v>
      </c>
      <c r="D9" s="26"/>
      <c r="E9" s="17"/>
      <c r="F9" s="17"/>
      <c r="G9" s="17"/>
      <c r="H9" s="16"/>
    </row>
    <row r="10" spans="1:18" s="13" customFormat="1" ht="12.75" x14ac:dyDescent="0.25">
      <c r="A10" s="60" t="s">
        <v>6</v>
      </c>
      <c r="B10" s="60"/>
      <c r="C10" s="18">
        <v>0</v>
      </c>
      <c r="F10" s="17"/>
      <c r="H10" s="42"/>
    </row>
    <row r="11" spans="1:18" s="13" customFormat="1" ht="12.75" x14ac:dyDescent="0.25">
      <c r="A11" s="60" t="s">
        <v>7</v>
      </c>
      <c r="B11" s="60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0" t="s">
        <v>9</v>
      </c>
      <c r="B12" s="60"/>
      <c r="C12" s="18">
        <f>C9+C10-C11</f>
        <v>32201237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1" t="s">
        <v>5</v>
      </c>
      <c r="B13" s="61"/>
      <c r="C13" s="11">
        <f t="array" ref="C13">SUM(ABS(Table132[Target allocation ($)]))</f>
        <v>90256180.99999997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520.64</v>
      </c>
      <c r="D16" s="39">
        <v>1116</v>
      </c>
      <c r="E16" s="28">
        <v>793</v>
      </c>
      <c r="F16" s="38">
        <f>Table132[[#This Row],[New position]]-Table132[[#This Row],[Old position]]</f>
        <v>-323</v>
      </c>
      <c r="G16" s="39">
        <v>0.375</v>
      </c>
      <c r="H16" s="52">
        <v>412662.92</v>
      </c>
      <c r="I16" s="29"/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105</v>
      </c>
      <c r="D17" s="39">
        <v>5453</v>
      </c>
      <c r="E17" s="39">
        <v>5453</v>
      </c>
      <c r="F17" s="38">
        <f>Table132[[#This Row],[New position]]-Table132[[#This Row],[Old position]]</f>
        <v>0</v>
      </c>
      <c r="G17" s="39">
        <v>0.375</v>
      </c>
      <c r="H17" s="52">
        <f>Table132[[#This Row],[New position]]*Table132[[#This Row],[Last_Price]]</f>
        <v>572565</v>
      </c>
      <c r="I17" s="30"/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234.75</v>
      </c>
      <c r="D18" s="39">
        <v>2518</v>
      </c>
      <c r="E18" s="39">
        <v>1758</v>
      </c>
      <c r="F18" s="38">
        <f>Table132[[#This Row],[New position]]-Table132[[#This Row],[Old position]]</f>
        <v>-760</v>
      </c>
      <c r="G18" s="39">
        <v>0.375</v>
      </c>
      <c r="H18" s="52">
        <v>412662.92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175.73</v>
      </c>
      <c r="D19" s="39">
        <v>3322</v>
      </c>
      <c r="E19" s="28">
        <v>2348</v>
      </c>
      <c r="F19" s="38">
        <f>Table132[[#This Row],[New position]]-Table132[[#This Row],[Old position]]</f>
        <v>-974</v>
      </c>
      <c r="G19" s="39">
        <v>0.375</v>
      </c>
      <c r="H19" s="52">
        <v>412662.92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107.78</v>
      </c>
      <c r="D20" s="39">
        <v>5408</v>
      </c>
      <c r="E20" s="28">
        <v>3829</v>
      </c>
      <c r="F20" s="38">
        <f>Table132[[#This Row],[New position]]-Table132[[#This Row],[Old position]]</f>
        <v>-1579</v>
      </c>
      <c r="G20" s="39">
        <v>0.375</v>
      </c>
      <c r="H20" s="52">
        <v>412662.92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69.28</v>
      </c>
      <c r="D21" s="39">
        <v>8516</v>
      </c>
      <c r="E21" s="28">
        <v>5956</v>
      </c>
      <c r="F21" s="38">
        <f>Table132[[#This Row],[New position]]-Table132[[#This Row],[Old position]]</f>
        <v>-2560</v>
      </c>
      <c r="G21" s="39">
        <v>0.375</v>
      </c>
      <c r="H21" s="52">
        <v>412662.92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54</v>
      </c>
      <c r="B22" s="39" t="s">
        <v>14</v>
      </c>
      <c r="C22" s="52">
        <v>159.41999999999999</v>
      </c>
      <c r="D22" s="39">
        <v>3727</v>
      </c>
      <c r="E22" s="28">
        <v>2589</v>
      </c>
      <c r="F22" s="38">
        <f>Table132[[#This Row],[New position]]-Table132[[#This Row],[Old position]]</f>
        <v>-1138</v>
      </c>
      <c r="G22" s="39">
        <v>0.375</v>
      </c>
      <c r="H22" s="52">
        <v>412662.92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61</v>
      </c>
      <c r="B23" s="39" t="s">
        <v>14</v>
      </c>
      <c r="C23" s="52">
        <v>438.49</v>
      </c>
      <c r="D23" s="39">
        <v>1368</v>
      </c>
      <c r="E23" s="39">
        <v>941</v>
      </c>
      <c r="F23" s="38">
        <f>Table132[[#This Row],[New position]]-Table132[[#This Row],[Old position]]</f>
        <v>-427</v>
      </c>
      <c r="G23" s="39">
        <v>0.375</v>
      </c>
      <c r="H23" s="52">
        <v>412662.92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55</v>
      </c>
      <c r="B24" s="39" t="s">
        <v>14</v>
      </c>
      <c r="C24" s="52">
        <v>343.25</v>
      </c>
      <c r="D24" s="39">
        <v>1700</v>
      </c>
      <c r="E24" s="39">
        <v>1202</v>
      </c>
      <c r="F24" s="38">
        <f>Table132[[#This Row],[New position]]-Table132[[#This Row],[Old position]]</f>
        <v>-498</v>
      </c>
      <c r="G24" s="39">
        <v>0.375</v>
      </c>
      <c r="H24" s="52">
        <v>412662.92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30</v>
      </c>
      <c r="B25" s="39" t="s">
        <v>14</v>
      </c>
      <c r="C25" s="52">
        <v>231.87</v>
      </c>
      <c r="D25" s="39">
        <v>2537</v>
      </c>
      <c r="E25" s="28">
        <v>1780</v>
      </c>
      <c r="F25" s="38">
        <f>Table132[[#This Row],[New position]]-Table132[[#This Row],[Old position]]</f>
        <v>-757</v>
      </c>
      <c r="G25" s="39">
        <v>0.375</v>
      </c>
      <c r="H25" s="52">
        <v>412662.92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58</v>
      </c>
      <c r="B26" s="39" t="s">
        <v>14</v>
      </c>
      <c r="C26" s="52">
        <v>3010.79</v>
      </c>
      <c r="D26" s="39">
        <v>193</v>
      </c>
      <c r="E26" s="28">
        <v>137</v>
      </c>
      <c r="F26" s="38">
        <f>Table132[[#This Row],[New position]]-Table132[[#This Row],[Old position]]</f>
        <v>-56</v>
      </c>
      <c r="G26" s="39">
        <v>0.375</v>
      </c>
      <c r="H26" s="52">
        <v>412662.92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65</v>
      </c>
      <c r="B27" s="39" t="s">
        <v>14</v>
      </c>
      <c r="C27" s="52">
        <v>260.33999999999997</v>
      </c>
      <c r="D27" s="39">
        <v>2233</v>
      </c>
      <c r="E27" s="28">
        <v>1585</v>
      </c>
      <c r="F27" s="38">
        <f>Table132[[#This Row],[New position]]-Table132[[#This Row],[Old position]]</f>
        <v>-648</v>
      </c>
      <c r="G27" s="39">
        <v>0.375</v>
      </c>
      <c r="H27" s="52">
        <v>412662.92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66</v>
      </c>
      <c r="B28" s="39" t="s">
        <v>14</v>
      </c>
      <c r="C28" s="52">
        <v>565.04</v>
      </c>
      <c r="D28" s="39">
        <v>1046</v>
      </c>
      <c r="E28" s="39">
        <v>730</v>
      </c>
      <c r="F28" s="38">
        <f>Table132[[#This Row],[New position]]-Table132[[#This Row],[Old position]]</f>
        <v>-316</v>
      </c>
      <c r="G28" s="39">
        <v>0.375</v>
      </c>
      <c r="H28" s="52">
        <v>412662.92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67</v>
      </c>
      <c r="B29" s="39" t="s">
        <v>14</v>
      </c>
      <c r="C29" s="52">
        <v>36.6</v>
      </c>
      <c r="D29" s="39">
        <v>16909</v>
      </c>
      <c r="E29" s="39">
        <v>11275</v>
      </c>
      <c r="F29" s="38">
        <f>Table132[[#This Row],[New position]]-Table132[[#This Row],[Old position]]</f>
        <v>-5634</v>
      </c>
      <c r="G29" s="39">
        <v>0.375</v>
      </c>
      <c r="H29" s="52">
        <v>412662.92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68</v>
      </c>
      <c r="B30" s="39" t="s">
        <v>14</v>
      </c>
      <c r="C30" s="52">
        <v>43.51</v>
      </c>
      <c r="D30" s="39">
        <v>13260</v>
      </c>
      <c r="E30" s="28">
        <v>9484</v>
      </c>
      <c r="F30" s="38">
        <f>Table132[[#This Row],[New position]]-Table132[[#This Row],[Old position]]</f>
        <v>-3776</v>
      </c>
      <c r="G30" s="39">
        <v>0.375</v>
      </c>
      <c r="H30" s="52">
        <v>412662.92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69</v>
      </c>
      <c r="B31" s="39" t="s">
        <v>14</v>
      </c>
      <c r="C31" s="52">
        <v>93.92</v>
      </c>
      <c r="D31" s="39">
        <v>6359</v>
      </c>
      <c r="E31" s="28">
        <v>4394</v>
      </c>
      <c r="F31" s="38">
        <f>Table132[[#This Row],[New position]]-Table132[[#This Row],[Old position]]</f>
        <v>-1965</v>
      </c>
      <c r="G31" s="39">
        <v>0.375</v>
      </c>
      <c r="H31" s="45">
        <v>412662.92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11</v>
      </c>
      <c r="B32" s="39" t="s">
        <v>14</v>
      </c>
      <c r="C32" s="52">
        <v>355.58</v>
      </c>
      <c r="D32" s="39">
        <v>198823</v>
      </c>
      <c r="E32" s="39">
        <v>198823</v>
      </c>
      <c r="F32" s="38">
        <f>Table132[[#This Row],[New position]]-Table132[[#This Row],[Old position]]</f>
        <v>0</v>
      </c>
      <c r="G32" s="39">
        <v>45</v>
      </c>
      <c r="H32" s="45">
        <f>Table132[[#This Row],[Last_Price]]*Table132[[#This Row],[New position]]</f>
        <v>70697482.340000004</v>
      </c>
      <c r="I32" s="30"/>
      <c r="L32"/>
      <c r="M32"/>
      <c r="N32"/>
      <c r="O32"/>
      <c r="P32"/>
      <c r="Q32"/>
      <c r="R32"/>
    </row>
    <row r="33" spans="1:18" x14ac:dyDescent="0.25">
      <c r="A33" s="39" t="s">
        <v>56</v>
      </c>
      <c r="B33" s="39" t="s">
        <v>14</v>
      </c>
      <c r="C33" s="52">
        <v>87.68</v>
      </c>
      <c r="D33" s="39">
        <v>34920</v>
      </c>
      <c r="E33" s="39">
        <v>0</v>
      </c>
      <c r="F33" s="38">
        <f>Table132[[#This Row],[New position]]-Table132[[#This Row],[Old position]]</f>
        <v>-34920</v>
      </c>
      <c r="G33" s="39">
        <v>0</v>
      </c>
      <c r="H33" s="45">
        <v>0</v>
      </c>
      <c r="I33" s="31"/>
      <c r="L33"/>
      <c r="M33"/>
      <c r="N33"/>
      <c r="O33"/>
      <c r="P33"/>
      <c r="Q33"/>
      <c r="R33"/>
    </row>
    <row r="34" spans="1:18" x14ac:dyDescent="0.25">
      <c r="A34" s="39" t="s">
        <v>25</v>
      </c>
      <c r="B34" s="39" t="s">
        <v>14</v>
      </c>
      <c r="C34" s="52">
        <v>96.33</v>
      </c>
      <c r="D34" s="39">
        <v>8268</v>
      </c>
      <c r="E34" s="39">
        <v>5712</v>
      </c>
      <c r="F34" s="38">
        <f>Table132[[#This Row],[New position]]-Table132[[#This Row],[Old position]]</f>
        <v>-2556</v>
      </c>
      <c r="G34" s="39">
        <v>0.5</v>
      </c>
      <c r="H34" s="45">
        <v>550217.22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26</v>
      </c>
      <c r="B35" s="39" t="s">
        <v>14</v>
      </c>
      <c r="C35" s="52">
        <v>49.43</v>
      </c>
      <c r="D35" s="39">
        <v>16103</v>
      </c>
      <c r="E35" s="39">
        <v>11131</v>
      </c>
      <c r="F35" s="38">
        <f>Table132[[#This Row],[New position]]-Table132[[#This Row],[Old position]]</f>
        <v>-4972</v>
      </c>
      <c r="G35" s="39">
        <v>0.5</v>
      </c>
      <c r="H35" s="45">
        <v>550217.22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27</v>
      </c>
      <c r="B36" s="39" t="s">
        <v>14</v>
      </c>
      <c r="C36" s="52">
        <v>72.150000000000006</v>
      </c>
      <c r="D36" s="39">
        <v>10952</v>
      </c>
      <c r="E36" s="39">
        <v>7626</v>
      </c>
      <c r="F36" s="38">
        <f>Table132[[#This Row],[New position]]-Table132[[#This Row],[Old position]]</f>
        <v>-3326</v>
      </c>
      <c r="G36" s="39">
        <v>0.5</v>
      </c>
      <c r="H36" s="45">
        <v>550217.22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29</v>
      </c>
      <c r="B37" s="39" t="s">
        <v>14</v>
      </c>
      <c r="C37" s="52">
        <v>15.76</v>
      </c>
      <c r="D37" s="39">
        <v>50246</v>
      </c>
      <c r="E37" s="39">
        <v>34912</v>
      </c>
      <c r="F37" s="38">
        <f>Table132[[#This Row],[New position]]-Table132[[#This Row],[Old position]]</f>
        <v>-15334</v>
      </c>
      <c r="G37" s="39">
        <v>0.5</v>
      </c>
      <c r="H37" s="45">
        <v>550217.22</v>
      </c>
      <c r="I37" s="32"/>
      <c r="L37"/>
      <c r="M37"/>
      <c r="N37"/>
      <c r="O37"/>
      <c r="P37"/>
      <c r="Q37"/>
      <c r="R37"/>
    </row>
    <row r="38" spans="1:18" x14ac:dyDescent="0.25">
      <c r="A38" s="39" t="s">
        <v>43</v>
      </c>
      <c r="B38" s="39" t="s">
        <v>14</v>
      </c>
      <c r="C38" s="52">
        <v>47.73</v>
      </c>
      <c r="D38" s="39">
        <v>16592</v>
      </c>
      <c r="E38" s="39">
        <v>11528</v>
      </c>
      <c r="F38" s="38">
        <f>Table132[[#This Row],[New position]]-Table132[[#This Row],[Old position]]</f>
        <v>-5064</v>
      </c>
      <c r="G38" s="39">
        <v>0.5</v>
      </c>
      <c r="H38" s="45">
        <v>550217.22</v>
      </c>
      <c r="I38" s="32"/>
      <c r="J38" s="27"/>
      <c r="L38"/>
      <c r="M38"/>
      <c r="N38"/>
      <c r="O38"/>
      <c r="P38"/>
      <c r="Q38"/>
      <c r="R38"/>
    </row>
    <row r="39" spans="1:18" x14ac:dyDescent="0.25">
      <c r="A39" s="39" t="s">
        <v>32</v>
      </c>
      <c r="B39" s="39" t="s">
        <v>14</v>
      </c>
      <c r="C39" s="52">
        <v>48.55</v>
      </c>
      <c r="D39" s="39">
        <v>16391</v>
      </c>
      <c r="E39" s="39">
        <v>11333</v>
      </c>
      <c r="F39" s="38">
        <f>Table132[[#This Row],[New position]]-Table132[[#This Row],[Old position]]</f>
        <v>-5058</v>
      </c>
      <c r="G39" s="39">
        <v>0.5</v>
      </c>
      <c r="H39" s="45">
        <v>550217.22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35</v>
      </c>
      <c r="B40" s="39" t="s">
        <v>15</v>
      </c>
      <c r="C40" s="52">
        <v>104000</v>
      </c>
      <c r="D40" s="39">
        <v>8</v>
      </c>
      <c r="E40" s="39">
        <v>5</v>
      </c>
      <c r="F40" s="38">
        <f>Table132[[#This Row],[New position]]-Table132[[#This Row],[Old position]]</f>
        <v>-3</v>
      </c>
      <c r="G40" s="39">
        <v>0.5</v>
      </c>
      <c r="H40" s="45">
        <v>550217.22</v>
      </c>
      <c r="I40" s="31"/>
      <c r="L40"/>
      <c r="M40"/>
      <c r="N40"/>
      <c r="O40"/>
      <c r="P40"/>
      <c r="Q40"/>
      <c r="R40"/>
    </row>
    <row r="41" spans="1:18" x14ac:dyDescent="0.25">
      <c r="A41" s="39" t="s">
        <v>38</v>
      </c>
      <c r="B41" s="39" t="s">
        <v>15</v>
      </c>
      <c r="C41" s="52">
        <v>104970</v>
      </c>
      <c r="D41" s="39">
        <v>8</v>
      </c>
      <c r="E41" s="39">
        <v>5</v>
      </c>
      <c r="F41" s="38">
        <f>Table132[[#This Row],[New position]]-Table132[[#This Row],[Old position]]</f>
        <v>-3</v>
      </c>
      <c r="G41" s="39">
        <v>0.5</v>
      </c>
      <c r="H41" s="45">
        <v>550217.22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39</v>
      </c>
      <c r="B42" s="39" t="s">
        <v>15</v>
      </c>
      <c r="C42" s="52">
        <v>115360</v>
      </c>
      <c r="D42" s="39">
        <v>7</v>
      </c>
      <c r="E42" s="39">
        <v>5</v>
      </c>
      <c r="F42" s="38">
        <f>Table132[[#This Row],[New position]]-Table132[[#This Row],[Old position]]</f>
        <v>-2</v>
      </c>
      <c r="G42" s="39">
        <v>0.5</v>
      </c>
      <c r="H42" s="45">
        <v>550217.22</v>
      </c>
      <c r="I42" s="32"/>
      <c r="L42"/>
      <c r="M42"/>
      <c r="N42"/>
      <c r="O42"/>
      <c r="P42"/>
      <c r="Q42"/>
      <c r="R42"/>
    </row>
    <row r="43" spans="1:18" x14ac:dyDescent="0.25">
      <c r="A43" s="39" t="s">
        <v>59</v>
      </c>
      <c r="B43" s="39" t="s">
        <v>15</v>
      </c>
      <c r="C43" s="52">
        <v>92300</v>
      </c>
      <c r="D43" s="39">
        <v>9</v>
      </c>
      <c r="E43" s="39">
        <v>6</v>
      </c>
      <c r="F43" s="38">
        <f>Table132[[#This Row],[New position]]-Table132[[#This Row],[Old position]]</f>
        <v>-3</v>
      </c>
      <c r="G43" s="39">
        <v>0.5</v>
      </c>
      <c r="H43" s="45">
        <v>550217.22</v>
      </c>
      <c r="I43" s="33"/>
      <c r="L43"/>
      <c r="M43"/>
      <c r="N43"/>
      <c r="O43"/>
      <c r="P43"/>
      <c r="Q43"/>
      <c r="R43"/>
    </row>
    <row r="44" spans="1:18" x14ac:dyDescent="0.25">
      <c r="A44" s="39" t="s">
        <v>44</v>
      </c>
      <c r="B44" s="39" t="s">
        <v>15</v>
      </c>
      <c r="C44" s="52">
        <v>86530</v>
      </c>
      <c r="D44" s="39">
        <v>9</v>
      </c>
      <c r="E44" s="39">
        <v>9</v>
      </c>
      <c r="F44" s="38">
        <f>Table132[[#This Row],[New position]]-Table132[[#This Row],[Old position]]</f>
        <v>0</v>
      </c>
      <c r="G44" s="39">
        <v>0.27800000000000002</v>
      </c>
      <c r="H44" s="45">
        <f>Table132[[#This Row],[Last_Price]]*Table132[[#This Row],[New position]]</f>
        <v>778770</v>
      </c>
      <c r="I44" s="34"/>
      <c r="L44"/>
      <c r="M44"/>
      <c r="N44"/>
      <c r="O44"/>
      <c r="P44"/>
      <c r="Q44"/>
      <c r="R44"/>
    </row>
    <row r="45" spans="1:18" x14ac:dyDescent="0.25">
      <c r="A45" s="39" t="s">
        <v>45</v>
      </c>
      <c r="B45" s="39" t="s">
        <v>15</v>
      </c>
      <c r="C45" s="52">
        <v>85980</v>
      </c>
      <c r="D45" s="39">
        <v>9</v>
      </c>
      <c r="E45" s="39">
        <v>9</v>
      </c>
      <c r="F45" s="38">
        <f>Table132[[#This Row],[New position]]-Table132[[#This Row],[Old position]]</f>
        <v>0</v>
      </c>
      <c r="G45" s="39">
        <v>0.27800000000000002</v>
      </c>
      <c r="H45" s="45">
        <f>Table132[[#This Row],[Last_Price]]*Table132[[#This Row],[New position]]</f>
        <v>773820</v>
      </c>
      <c r="I45" s="32"/>
      <c r="M45"/>
      <c r="N45"/>
      <c r="O45"/>
      <c r="P45"/>
      <c r="Q45"/>
      <c r="R45"/>
    </row>
    <row r="46" spans="1:18" x14ac:dyDescent="0.25">
      <c r="A46" s="39" t="s">
        <v>47</v>
      </c>
      <c r="B46" s="39" t="s">
        <v>15</v>
      </c>
      <c r="C46" s="52">
        <v>90025</v>
      </c>
      <c r="D46" s="39">
        <v>8</v>
      </c>
      <c r="E46" s="39">
        <v>8</v>
      </c>
      <c r="F46" s="38">
        <f>Table132[[#This Row],[New position]]-Table132[[#This Row],[Old position]]</f>
        <v>0</v>
      </c>
      <c r="G46" s="39">
        <v>0.27800000000000002</v>
      </c>
      <c r="H46" s="45">
        <f>Table132[[#This Row],[Last_Price]]*Table132[[#This Row],[New position]]</f>
        <v>720200</v>
      </c>
      <c r="I46" s="31"/>
      <c r="M46"/>
      <c r="N46"/>
      <c r="O46"/>
      <c r="P46"/>
      <c r="Q46"/>
      <c r="R46"/>
    </row>
    <row r="47" spans="1:18" x14ac:dyDescent="0.25">
      <c r="A47" s="39" t="s">
        <v>46</v>
      </c>
      <c r="B47" s="39" t="s">
        <v>15</v>
      </c>
      <c r="C47" s="52">
        <v>123626.67</v>
      </c>
      <c r="D47" s="39">
        <v>6</v>
      </c>
      <c r="E47" s="39">
        <v>6</v>
      </c>
      <c r="F47" s="38">
        <f>Table132[[#This Row],[New position]]-Table132[[#This Row],[Old position]]</f>
        <v>0</v>
      </c>
      <c r="G47" s="39">
        <v>0.27800000000000002</v>
      </c>
      <c r="H47" s="45">
        <f>Table132[[#This Row],[Last_Price]]*Table132[[#This Row],[New position]]</f>
        <v>741760.02</v>
      </c>
      <c r="I47" s="30"/>
      <c r="M47"/>
      <c r="N47"/>
      <c r="O47"/>
      <c r="P47"/>
      <c r="Q47"/>
      <c r="R47"/>
    </row>
    <row r="48" spans="1:18" x14ac:dyDescent="0.25">
      <c r="A48" s="39" t="s">
        <v>60</v>
      </c>
      <c r="B48" s="39" t="s">
        <v>15</v>
      </c>
      <c r="C48" s="52">
        <v>11550.05</v>
      </c>
      <c r="D48" s="39">
        <v>38</v>
      </c>
      <c r="E48" s="39">
        <v>26</v>
      </c>
      <c r="F48" s="38">
        <f>Table132[[#This Row],[New position]]-Table132[[#This Row],[Old position]]</f>
        <v>-12</v>
      </c>
      <c r="G48" s="39">
        <v>0.27800000000000002</v>
      </c>
      <c r="H48" s="45">
        <v>305676.26</v>
      </c>
      <c r="I48" s="31"/>
      <c r="M48"/>
      <c r="N48"/>
      <c r="O48"/>
      <c r="P48"/>
      <c r="Q48"/>
      <c r="R48"/>
    </row>
    <row r="49" spans="1:18" x14ac:dyDescent="0.25">
      <c r="A49" s="39" t="s">
        <v>62</v>
      </c>
      <c r="B49" s="39" t="s">
        <v>15</v>
      </c>
      <c r="C49" s="52">
        <v>28672</v>
      </c>
      <c r="D49" s="39">
        <v>15</v>
      </c>
      <c r="E49" s="39">
        <v>11</v>
      </c>
      <c r="F49" s="38">
        <f>Table132[[#This Row],[New position]]-Table132[[#This Row],[Old position]]</f>
        <v>-4</v>
      </c>
      <c r="G49" s="39">
        <v>0.27800000000000002</v>
      </c>
      <c r="H49" s="45">
        <v>305676.26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70</v>
      </c>
      <c r="B50" s="39" t="s">
        <v>15</v>
      </c>
      <c r="C50" s="52">
        <v>43417.599999999999</v>
      </c>
      <c r="D50" s="39">
        <v>-20</v>
      </c>
      <c r="E50" s="39">
        <v>-14</v>
      </c>
      <c r="F50" s="38">
        <f>Table132[[#This Row],[New position]]-Table132[[#This Row],[Old position]]</f>
        <v>6</v>
      </c>
      <c r="G50" s="39">
        <v>-0.55600000000000005</v>
      </c>
      <c r="H50" s="45">
        <v>611352.52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71</v>
      </c>
      <c r="B51" s="39" t="s">
        <v>15</v>
      </c>
      <c r="C51" s="52">
        <v>106250</v>
      </c>
      <c r="D51" s="39">
        <v>-8</v>
      </c>
      <c r="E51" s="39">
        <v>-6</v>
      </c>
      <c r="F51" s="38">
        <f>Table132[[#This Row],[New position]]-Table132[[#This Row],[Old position]]</f>
        <v>2</v>
      </c>
      <c r="G51" s="39">
        <v>-0.55600000000000005</v>
      </c>
      <c r="H51" s="45">
        <v>611352.52</v>
      </c>
      <c r="I51" s="31"/>
      <c r="L51"/>
      <c r="M51"/>
      <c r="N51"/>
      <c r="O51"/>
      <c r="P51"/>
      <c r="Q51"/>
      <c r="R51"/>
    </row>
    <row r="52" spans="1:18" x14ac:dyDescent="0.25">
      <c r="A52" s="39" t="s">
        <v>72</v>
      </c>
      <c r="B52" s="39" t="s">
        <v>15</v>
      </c>
      <c r="C52" s="52">
        <v>33775</v>
      </c>
      <c r="D52" s="39">
        <v>-26</v>
      </c>
      <c r="E52" s="39">
        <v>-18</v>
      </c>
      <c r="F52" s="38">
        <f>Table132[[#This Row],[New position]]-Table132[[#This Row],[Old position]]</f>
        <v>8</v>
      </c>
      <c r="G52" s="39">
        <v>-0.55600000000000005</v>
      </c>
      <c r="H52" s="45">
        <v>611352.52</v>
      </c>
      <c r="I52" s="32"/>
      <c r="L52"/>
      <c r="M52"/>
      <c r="N52"/>
      <c r="O52"/>
      <c r="P52"/>
      <c r="Q52"/>
      <c r="R52"/>
    </row>
    <row r="53" spans="1:18" x14ac:dyDescent="0.25">
      <c r="A53" s="39" t="s">
        <v>73</v>
      </c>
      <c r="B53" s="39" t="s">
        <v>15</v>
      </c>
      <c r="C53" s="52">
        <v>63962.5</v>
      </c>
      <c r="D53" s="39">
        <v>-14</v>
      </c>
      <c r="E53" s="39">
        <v>-10</v>
      </c>
      <c r="F53" s="38">
        <f>Table132[[#This Row],[New position]]-Table132[[#This Row],[Old position]]</f>
        <v>4</v>
      </c>
      <c r="G53" s="39">
        <v>-0.55600000000000005</v>
      </c>
      <c r="H53" s="45">
        <v>611352.52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74</v>
      </c>
      <c r="B54" s="50" t="s">
        <v>15</v>
      </c>
      <c r="C54" s="52">
        <v>37610</v>
      </c>
      <c r="D54" s="59">
        <v>-24</v>
      </c>
      <c r="E54" s="59">
        <v>-16</v>
      </c>
      <c r="F54" s="38">
        <f>Table132[[#This Row],[New position]]-Table132[[#This Row],[Old position]]</f>
        <v>8</v>
      </c>
      <c r="G54" s="39">
        <v>-0.55600000000000005</v>
      </c>
      <c r="H54" s="45">
        <v>611352.52</v>
      </c>
      <c r="I54" s="32"/>
      <c r="L54"/>
      <c r="M54"/>
      <c r="N54"/>
      <c r="O54"/>
      <c r="P54"/>
      <c r="Q54"/>
      <c r="R54"/>
    </row>
    <row r="55" spans="1:18" x14ac:dyDescent="0.25">
      <c r="A55" s="50" t="s">
        <v>75</v>
      </c>
      <c r="B55" s="50" t="s">
        <v>15</v>
      </c>
      <c r="C55" s="52">
        <v>34214.379999999997</v>
      </c>
      <c r="D55" s="59">
        <v>-26</v>
      </c>
      <c r="E55" s="58">
        <v>-18</v>
      </c>
      <c r="F55" s="38">
        <f>Table132[[#This Row],[New position]]-Table132[[#This Row],[Old position]]</f>
        <v>8</v>
      </c>
      <c r="G55" s="39">
        <v>-0.55600000000000005</v>
      </c>
      <c r="H55" s="52">
        <v>611352.52</v>
      </c>
      <c r="I55" s="32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40"/>
      <c r="E56" s="41"/>
      <c r="F56" s="36"/>
      <c r="G56" s="39"/>
      <c r="H56" s="52"/>
      <c r="I56" s="32"/>
      <c r="L56"/>
      <c r="M56"/>
      <c r="N56"/>
      <c r="O56"/>
      <c r="P56"/>
      <c r="Q56"/>
      <c r="R56"/>
    </row>
    <row r="57" spans="1:18" x14ac:dyDescent="0.25">
      <c r="A57" s="50"/>
      <c r="B57" s="50"/>
      <c r="C57" s="51"/>
      <c r="D57" s="40"/>
      <c r="E57" s="41"/>
      <c r="F57" s="36"/>
      <c r="G57" s="39"/>
      <c r="H57" s="52"/>
      <c r="I57" s="56"/>
      <c r="L57"/>
      <c r="M57"/>
      <c r="N57"/>
      <c r="O57"/>
      <c r="P57"/>
      <c r="Q57"/>
      <c r="R57"/>
    </row>
    <row r="58" spans="1:18" x14ac:dyDescent="0.25">
      <c r="A58" s="50"/>
      <c r="B58" s="50"/>
      <c r="C58" s="51"/>
      <c r="D58" s="40"/>
      <c r="E58" s="41"/>
      <c r="F58" s="36"/>
      <c r="G58" s="39"/>
      <c r="H58" s="52"/>
      <c r="I58" s="56"/>
      <c r="L58"/>
      <c r="M58"/>
      <c r="N58"/>
      <c r="O58"/>
      <c r="P58"/>
      <c r="Q58"/>
      <c r="R58"/>
    </row>
    <row r="59" spans="1:18" x14ac:dyDescent="0.25">
      <c r="A59" s="50"/>
      <c r="B59" s="50"/>
      <c r="C59" s="51"/>
      <c r="D59" s="40"/>
      <c r="E59" s="66" t="s">
        <v>76</v>
      </c>
      <c r="F59" s="36"/>
      <c r="G59" s="67" t="s">
        <v>77</v>
      </c>
      <c r="H59" s="52"/>
      <c r="I59" s="56"/>
      <c r="L59"/>
      <c r="M59"/>
      <c r="N59"/>
      <c r="O59"/>
      <c r="P59"/>
      <c r="Q59"/>
      <c r="R59"/>
    </row>
    <row r="60" spans="1:18" x14ac:dyDescent="0.25">
      <c r="A60" s="39" t="s">
        <v>48</v>
      </c>
      <c r="B60" s="39"/>
      <c r="C60" s="39"/>
      <c r="D60" s="39"/>
      <c r="E60" s="64">
        <f>SUM(H16:H33)/(3.417367*C9)*100</f>
        <v>70.390372968741815</v>
      </c>
      <c r="F60" s="53" t="s">
        <v>48</v>
      </c>
      <c r="G60" s="39">
        <f>SUM(G16:G33)</f>
        <v>51</v>
      </c>
      <c r="H60" s="39"/>
      <c r="I60" s="32"/>
      <c r="L60"/>
      <c r="M60"/>
      <c r="N60"/>
      <c r="O60"/>
      <c r="P60"/>
      <c r="Q60"/>
      <c r="R60"/>
    </row>
    <row r="61" spans="1:18" x14ac:dyDescent="0.25">
      <c r="A61" s="39" t="s">
        <v>49</v>
      </c>
      <c r="B61" s="50"/>
      <c r="C61" s="51"/>
      <c r="D61" s="40"/>
      <c r="E61" s="65">
        <f>SUM(H34:H43)/(3.417367*C9)*100</f>
        <v>4.9999999689677548</v>
      </c>
      <c r="F61" s="53" t="s">
        <v>49</v>
      </c>
      <c r="G61" s="39">
        <f>SUM(G34:G43)</f>
        <v>5</v>
      </c>
      <c r="H61" s="52"/>
      <c r="I61" s="32"/>
      <c r="L61"/>
      <c r="M61"/>
      <c r="N61"/>
      <c r="O61"/>
      <c r="P61"/>
      <c r="Q61"/>
      <c r="R61"/>
    </row>
    <row r="62" spans="1:18" x14ac:dyDescent="0.25">
      <c r="A62" s="50" t="s">
        <v>51</v>
      </c>
      <c r="B62" s="39"/>
      <c r="C62" s="39"/>
      <c r="D62" s="39"/>
      <c r="E62" s="64">
        <f>SUM(0)/(3.417367*C9)*100</f>
        <v>0</v>
      </c>
      <c r="F62" s="54" t="s">
        <v>51</v>
      </c>
      <c r="G62" s="39">
        <f>0</f>
        <v>0</v>
      </c>
      <c r="H62" s="39"/>
      <c r="I62" s="33"/>
      <c r="L62"/>
      <c r="M62"/>
      <c r="N62"/>
      <c r="O62"/>
      <c r="P62"/>
      <c r="Q62"/>
      <c r="R62"/>
    </row>
    <row r="63" spans="1:18" x14ac:dyDescent="0.25">
      <c r="A63" s="39" t="s">
        <v>50</v>
      </c>
      <c r="B63" s="39"/>
      <c r="C63" s="39"/>
      <c r="D63" s="39"/>
      <c r="E63" s="64">
        <f>SUM(H44:H55)/(3.417367*C9)*100</f>
        <v>6.6283072844667155</v>
      </c>
      <c r="F63" s="53" t="s">
        <v>50</v>
      </c>
      <c r="G63" s="39">
        <f t="array" ref="G63">SUM(ABS(G44:G55))</f>
        <v>5.0040000000000004</v>
      </c>
      <c r="H63" s="39"/>
      <c r="I63" s="34"/>
      <c r="L63"/>
      <c r="M63"/>
      <c r="N63"/>
      <c r="O63"/>
      <c r="P63"/>
      <c r="Q63"/>
      <c r="R63"/>
    </row>
    <row r="64" spans="1:18" x14ac:dyDescent="0.25">
      <c r="A64" s="39" t="s">
        <v>24</v>
      </c>
      <c r="B64" s="39"/>
      <c r="C64" s="39"/>
      <c r="D64" s="39"/>
      <c r="E64" s="64">
        <f>100-SUM(E60:E63)</f>
        <v>17.981319777823714</v>
      </c>
      <c r="F64" s="53" t="s">
        <v>24</v>
      </c>
      <c r="G64" s="39">
        <f t="array" ref="G64">100-SUM(ABS(G60:G63))</f>
        <v>38.996000000000002</v>
      </c>
      <c r="H64" s="39"/>
      <c r="I64" s="32"/>
      <c r="L64"/>
      <c r="M64"/>
      <c r="N64"/>
      <c r="O64"/>
      <c r="P64"/>
      <c r="Q64"/>
      <c r="R64"/>
    </row>
    <row r="65" spans="1:18" x14ac:dyDescent="0.25">
      <c r="A65" s="28" t="s">
        <v>57</v>
      </c>
      <c r="B65" s="28"/>
      <c r="C65" s="37"/>
      <c r="D65" s="28"/>
      <c r="E65" s="28"/>
      <c r="F65" s="36"/>
      <c r="G65" s="39">
        <f>C12*G64/100</f>
        <v>12557194.380520001</v>
      </c>
      <c r="H65" s="45"/>
      <c r="I65" s="35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28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8"/>
      <c r="B67" s="28"/>
      <c r="C67" s="37"/>
      <c r="D67" s="28"/>
      <c r="E67" s="28"/>
      <c r="F67" s="36"/>
      <c r="G67" s="39"/>
      <c r="H67" s="45"/>
      <c r="I67" s="32"/>
      <c r="L67"/>
      <c r="M67"/>
      <c r="N67"/>
      <c r="O67"/>
      <c r="P67"/>
      <c r="Q67"/>
      <c r="R67"/>
    </row>
    <row r="68" spans="1:18" x14ac:dyDescent="0.25">
      <c r="A68" s="28"/>
      <c r="B68" s="28"/>
      <c r="C68" s="37"/>
      <c r="D68" s="28"/>
      <c r="E68" s="28"/>
      <c r="F68" s="36"/>
      <c r="G68" s="39"/>
      <c r="H68" s="45"/>
      <c r="I68" s="32"/>
      <c r="L68"/>
      <c r="M68"/>
      <c r="N68"/>
      <c r="O68"/>
      <c r="P68"/>
      <c r="Q68"/>
      <c r="R68"/>
    </row>
    <row r="69" spans="1:18" x14ac:dyDescent="0.25">
      <c r="A69" s="22"/>
      <c r="B69" s="5" t="s">
        <v>22</v>
      </c>
      <c r="D69" s="1"/>
      <c r="E69" s="5" t="s">
        <v>21</v>
      </c>
      <c r="F69" s="1"/>
      <c r="G69" s="5"/>
      <c r="H69" s="46" t="s">
        <v>2</v>
      </c>
      <c r="I69" s="4"/>
      <c r="L69"/>
      <c r="M69"/>
      <c r="N69"/>
      <c r="O69"/>
      <c r="P69"/>
      <c r="Q69"/>
      <c r="R69"/>
    </row>
    <row r="70" spans="1:18" x14ac:dyDescent="0.25">
      <c r="B70" s="5" t="s">
        <v>40</v>
      </c>
      <c r="D70" s="1"/>
      <c r="E70" s="5" t="s">
        <v>40</v>
      </c>
      <c r="F70" s="1"/>
      <c r="G70" s="5"/>
      <c r="H70" s="46" t="s">
        <v>3</v>
      </c>
      <c r="L70"/>
      <c r="M70"/>
      <c r="N70"/>
      <c r="O70"/>
      <c r="P70"/>
      <c r="Q70"/>
      <c r="R70"/>
    </row>
    <row r="71" spans="1:18" x14ac:dyDescent="0.25">
      <c r="B71" s="3"/>
      <c r="C71"/>
      <c r="D71" s="1"/>
      <c r="E71" s="3"/>
      <c r="F71" s="21"/>
      <c r="G71" s="3"/>
      <c r="H71" s="47"/>
      <c r="L71"/>
      <c r="M71"/>
      <c r="N71"/>
      <c r="O71"/>
      <c r="P71"/>
      <c r="Q71"/>
      <c r="R71"/>
    </row>
    <row r="72" spans="1:18" x14ac:dyDescent="0.25">
      <c r="C72"/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2023-11-17T08:15:49Z</cp:lastPrinted>
  <dcterms:created xsi:type="dcterms:W3CDTF">2020-06-30T03:42:56Z</dcterms:created>
  <dcterms:modified xsi:type="dcterms:W3CDTF">2023-11-17T08:16:49Z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