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928" documentId="14_{A48F4B07-3EF3-43E5-91B2-4CA340E6013A}" xr6:coauthVersionLast="47" xr6:coauthVersionMax="47" xr10:uidLastSave="{7F741A38-AD98-4DD2-93F5-B529C186598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 a="1"/>
  <c r="C13" i="3" s="1"/>
  <c r="G33" i="3"/>
  <c r="C3" i="3"/>
  <c r="G55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16" i="3"/>
  <c r="E33" i="3"/>
  <c r="H33" i="3"/>
  <c r="G57" i="3"/>
  <c r="G56" i="3"/>
  <c r="C6" i="3"/>
  <c r="C5" i="3"/>
  <c r="F47" i="3"/>
  <c r="F48" i="3"/>
  <c r="C4" i="3"/>
  <c r="F46" i="3"/>
  <c r="G60" i="3" l="1"/>
  <c r="G58" i="3"/>
  <c r="C2" i="3" l="1"/>
  <c r="C8" i="3"/>
  <c r="F38" i="3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C12" i="3"/>
  <c r="C7" i="3" l="1"/>
  <c r="G59" i="3"/>
  <c r="G61" i="3" s="1"/>
  <c r="G53" i="3" s="1"/>
</calcChain>
</file>

<file path=xl/sharedStrings.xml><?xml version="1.0" encoding="utf-8"?>
<sst xmlns="http://schemas.openxmlformats.org/spreadsheetml/2006/main" count="119" uniqueCount="81">
  <si>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</si>
  <si>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</si>
  <si>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</si>
  <si>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</si>
  <si>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</si>
  <si>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</si>
  <si>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</si>
  <si>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</si>
  <si>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</si>
  <si>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</si>
  <si>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</si>
  <si>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</si>
  <si>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</si>
  <si>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</si>
  <si>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</si>
  <si>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</si>
  <si>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</si>
  <si>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</si>
  <si>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</si>
  <si>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</si>
  <si>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</si>
  <si>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</si>
  <si>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</si>
  <si>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</si>
  <si>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</si>
  <si>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</si>
  <si>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</si>
  <si>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</si>
  <si>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</si>
  <si>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</si>
  <si>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</si>
  <si>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</si>
  <si>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</si>
  <si>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</si>
  <si>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</si>
  <si>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</si>
  <si>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</si>
  <si>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</si>
  <si>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</si>
  <si>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</si>
  <si>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</si>
  <si>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</si>
  <si>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</si>
  <si>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</si>
  <si>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</si>
  <si>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</si>
  <si>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</si>
  <si>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</si>
  <si>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</si>
  <si>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</si>
  <si>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</si>
  <si>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</si>
  <si>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</si>
  <si>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</si>
  <si>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</si>
  <si>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</si>
  <si>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</si>
  <si>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</si>
  <si>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</si>
  <si>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</si>
  <si>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</si>
  <si>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STE</t>
  </si>
  <si>
    <t>VRTX</t>
  </si>
  <si>
    <t>COR</t>
  </si>
  <si>
    <t>SMH</t>
  </si>
  <si>
    <t>USL</t>
  </si>
  <si>
    <t>IAU</t>
  </si>
  <si>
    <t>Actual Leverage (incl. Cash)</t>
  </si>
  <si>
    <t>URNM</t>
  </si>
  <si>
    <t>CANE</t>
  </si>
  <si>
    <t>GSG</t>
  </si>
  <si>
    <t>Bond did not mitigate enough risk in confilicts between</t>
  </si>
  <si>
    <t>Israel and Palestine. Thus, downsize them to 5%.</t>
  </si>
  <si>
    <t>Upsize USL to 2% to mitigate the confilicts risk.</t>
  </si>
  <si>
    <t>Consider other ETFs to mitigate risks.</t>
  </si>
  <si>
    <t>Since YTD MTM statement shows single stocks did not</t>
  </si>
  <si>
    <t>earn money, we temporarily halted the trade before</t>
  </si>
  <si>
    <t>we find a better strategy.</t>
  </si>
  <si>
    <t>Manually leverage QQQ up to 1.8.</t>
  </si>
  <si>
    <t>Note that Activation Blizzard shares were bought by</t>
  </si>
  <si>
    <t>Microsoft at $95. Thus, the position has been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</si>
</sst>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6" fillId="2" borderId="1" xfId="0" applyFont="1" applyFill="1" applyBorder="1"/>
    <xf numFmtId="0" fontId="16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Sheet1!$F$55:$F$59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Sheet1!$G$55:$G$59</c:f>
              <c:numCache>
                <c:formatCode>0.00</c:formatCode>
                <c:ptCount val="5"/>
                <c:pt idx="0">
                  <c:v>0.77231580592744287</c:v>
                </c:pt>
                <c:pt idx="1">
                  <c:v>3.9999999665650224E-2</c:v>
                </c:pt>
                <c:pt idx="2">
                  <c:v>1.000000002828611E-2</c:v>
                </c:pt>
                <c:pt idx="3">
                  <c:v>0</c:v>
                </c:pt>
                <c:pt idx="4">
                  <c:v>0.17768419437862071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4" totalsRowShown="0" headerRowDxfId="13" dataDxfId="11" headerRowBorderDxfId="12" tableBorderDxfId="10" totalsRowBorderDxfId="9">
  <autoFilter ref="A15:I64" xr:uid="{00000000-0009-0000-0100-000001000000}"/>
  <sortState xmlns:xlrd2="http://schemas.microsoft.com/office/spreadsheetml/2017/richdata2" ref="A16:I63">
    <sortCondition ref="A15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2"/>
  <sheetViews>
    <sheetView tabSelected="1" topLeftCell="A7" zoomScale="115" zoomScaleNormal="115" workbookViewId="0">
      <selection activeCell="I23" sqref="I2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1" t="s">
        <v>0</v>
      </c>
      <c r="B1" s="61"/>
      <c r="C1" s="12">
        <v>45215</v>
      </c>
      <c r="E1" s="14"/>
      <c r="F1" s="14"/>
      <c r="G1" s="48"/>
      <c r="H1" s="14"/>
    </row>
    <row r="2" spans="1:18" s="13" customFormat="1" x14ac:dyDescent="0.25">
      <c r="A2" s="61" t="s">
        <v>10</v>
      </c>
      <c r="B2" s="61"/>
      <c r="C2" s="15">
        <f>C13/C12</f>
        <v>2.1541828894592689</v>
      </c>
      <c r="D2"/>
      <c r="E2" s="25"/>
      <c r="F2" s="17"/>
      <c r="G2" s="17"/>
      <c r="H2" s="16"/>
    </row>
    <row r="3" spans="1:18" s="13" customFormat="1" x14ac:dyDescent="0.25">
      <c r="A3" s="63" t="s">
        <v>56</v>
      </c>
      <c r="B3" s="64"/>
      <c r="C3" s="15">
        <f>SUM(H16:H37)/C12</f>
        <v>2.0232001902610497</v>
      </c>
      <c r="D3"/>
      <c r="E3" s="25"/>
      <c r="F3" s="17"/>
      <c r="G3" s="17"/>
      <c r="H3" s="16"/>
    </row>
    <row r="4" spans="1:18" s="13" customFormat="1" x14ac:dyDescent="0.25">
      <c r="A4" s="63" t="s">
        <v>55</v>
      </c>
      <c r="B4" s="64"/>
      <c r="C4" s="15">
        <f>1.8</f>
        <v>1.8</v>
      </c>
      <c r="D4"/>
      <c r="E4" s="25"/>
      <c r="F4" s="17"/>
      <c r="G4" s="17"/>
      <c r="H4" s="16"/>
    </row>
    <row r="5" spans="1:18" s="13" customFormat="1" x14ac:dyDescent="0.25">
      <c r="A5" s="63" t="s">
        <v>41</v>
      </c>
      <c r="B5" s="64"/>
      <c r="C5" s="15">
        <f>SUM(H38:H47)/C12</f>
        <v>0.10478615912411927</v>
      </c>
      <c r="D5"/>
      <c r="E5" s="25"/>
      <c r="F5" s="17"/>
      <c r="G5" s="17"/>
      <c r="H5" s="16"/>
    </row>
    <row r="6" spans="1:18" s="13" customFormat="1" x14ac:dyDescent="0.25">
      <c r="A6" s="63" t="s">
        <v>48</v>
      </c>
      <c r="B6" s="64"/>
      <c r="C6" s="15">
        <f>H48/C12</f>
        <v>2.6196540074099821E-2</v>
      </c>
      <c r="D6"/>
      <c r="E6" s="25"/>
      <c r="F6" s="17"/>
      <c r="G6" s="17"/>
      <c r="H6" s="16"/>
    </row>
    <row r="7" spans="1:18" s="13" customFormat="1" x14ac:dyDescent="0.25">
      <c r="A7" s="63" t="s">
        <v>42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49</v>
      </c>
      <c r="B8" s="62"/>
      <c r="C8" s="20">
        <f>(C13-SUM(H38:H48))/C12</f>
        <v>2.0232001902610501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34121540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1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34121540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73504037.630000025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3" t="s">
        <v>20</v>
      </c>
      <c r="I15" s="10" t="s">
        <v>1</v>
      </c>
    </row>
    <row r="16" spans="1:18" s="2" customFormat="1" x14ac:dyDescent="0.25">
      <c r="A16" s="38" t="s">
        <v>33</v>
      </c>
      <c r="B16" s="38" t="s">
        <v>14</v>
      </c>
      <c r="C16" s="51">
        <v>611.25</v>
      </c>
      <c r="D16" s="38">
        <v>482</v>
      </c>
      <c r="E16" s="38">
        <v>482</v>
      </c>
      <c r="F16" s="37">
        <f>Table132[[#This Row],[New position]]-Table132[[#This Row],[Old position]]</f>
        <v>0</v>
      </c>
      <c r="G16" s="38">
        <v>0.35299999999999998</v>
      </c>
      <c r="H16" s="44">
        <f>Table132[[#This Row],[New position]]*Table132[[#This Row],[Last_Price]]</f>
        <v>294622.5</v>
      </c>
      <c r="I16" s="31" t="s">
        <v>75</v>
      </c>
      <c r="J16"/>
      <c r="L16"/>
      <c r="M16"/>
      <c r="N16"/>
      <c r="O16"/>
      <c r="P16"/>
      <c r="Q16"/>
      <c r="R16"/>
    </row>
    <row r="17" spans="1:18" x14ac:dyDescent="0.25">
      <c r="A17" s="38" t="s">
        <v>37</v>
      </c>
      <c r="B17" s="38" t="s">
        <v>14</v>
      </c>
      <c r="C17" s="51">
        <v>114.01</v>
      </c>
      <c r="D17" s="38">
        <v>2536</v>
      </c>
      <c r="E17" s="38">
        <v>2536</v>
      </c>
      <c r="F17" s="37">
        <f>Table132[[#This Row],[New position]]-Table132[[#This Row],[Old position]]</f>
        <v>0</v>
      </c>
      <c r="G17" s="38">
        <v>0.35299999999999998</v>
      </c>
      <c r="H17" s="44">
        <f>Table132[[#This Row],[New position]]*Table132[[#This Row],[Last_Price]]</f>
        <v>289129.36</v>
      </c>
      <c r="I17" s="31" t="s">
        <v>76</v>
      </c>
      <c r="K17" s="54"/>
      <c r="L17"/>
      <c r="M17"/>
      <c r="N17"/>
      <c r="O17"/>
      <c r="P17"/>
      <c r="Q17"/>
      <c r="R17"/>
    </row>
    <row r="18" spans="1:18" x14ac:dyDescent="0.25">
      <c r="A18" s="38" t="s">
        <v>31</v>
      </c>
      <c r="B18" s="38" t="s">
        <v>14</v>
      </c>
      <c r="C18" s="51">
        <v>245.84</v>
      </c>
      <c r="D18" s="38">
        <v>1193</v>
      </c>
      <c r="E18" s="38">
        <v>1193</v>
      </c>
      <c r="F18" s="37">
        <f>Table132[[#This Row],[New position]]-Table132[[#This Row],[Old position]]</f>
        <v>0</v>
      </c>
      <c r="G18" s="38">
        <v>0.35299999999999998</v>
      </c>
      <c r="H18" s="44">
        <f>Table132[[#This Row],[New position]]*Table132[[#This Row],[Last_Price]]</f>
        <v>293287.12</v>
      </c>
      <c r="I18" s="60" t="s">
        <v>77</v>
      </c>
      <c r="L18"/>
      <c r="M18"/>
      <c r="N18"/>
      <c r="O18"/>
      <c r="P18"/>
      <c r="Q18"/>
      <c r="R18"/>
    </row>
    <row r="19" spans="1:18" x14ac:dyDescent="0.25">
      <c r="A19" s="38" t="s">
        <v>34</v>
      </c>
      <c r="B19" s="38" t="s">
        <v>14</v>
      </c>
      <c r="C19" s="51">
        <v>177.68</v>
      </c>
      <c r="D19" s="38">
        <v>1605</v>
      </c>
      <c r="E19" s="38">
        <v>1605</v>
      </c>
      <c r="F19" s="37">
        <f>Table132[[#This Row],[New position]]-Table132[[#This Row],[Old position]]</f>
        <v>0</v>
      </c>
      <c r="G19" s="38">
        <v>0.35299999999999998</v>
      </c>
      <c r="H19" s="44">
        <f>Table132[[#This Row],[New position]]*Table132[[#This Row],[Last_Price]]</f>
        <v>285176.40000000002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28</v>
      </c>
      <c r="B20" s="38" t="s">
        <v>14</v>
      </c>
      <c r="C20" s="51">
        <v>109.93</v>
      </c>
      <c r="D20" s="38">
        <v>2577</v>
      </c>
      <c r="E20" s="38">
        <v>2577</v>
      </c>
      <c r="F20" s="37">
        <f>Table132[[#This Row],[New position]]-Table132[[#This Row],[Old position]]</f>
        <v>0</v>
      </c>
      <c r="G20" s="38">
        <v>0.35299999999999998</v>
      </c>
      <c r="H20" s="44">
        <f>Table132[[#This Row],[New position]]*Table132[[#This Row],[Last_Price]]</f>
        <v>283289.61000000004</v>
      </c>
      <c r="I20" s="31" t="s">
        <v>79</v>
      </c>
      <c r="L20"/>
      <c r="M20"/>
      <c r="N20"/>
      <c r="O20"/>
      <c r="P20"/>
      <c r="Q20"/>
      <c r="R20"/>
    </row>
    <row r="21" spans="1:18" x14ac:dyDescent="0.25">
      <c r="A21" s="38" t="s">
        <v>36</v>
      </c>
      <c r="B21" s="38" t="s">
        <v>14</v>
      </c>
      <c r="C21" s="51">
        <v>69.709999999999994</v>
      </c>
      <c r="D21" s="38">
        <v>4098</v>
      </c>
      <c r="E21" s="38">
        <v>4098</v>
      </c>
      <c r="F21" s="37">
        <f>Table132[[#This Row],[New position]]-Table132[[#This Row],[Old position]]</f>
        <v>0</v>
      </c>
      <c r="G21" s="38">
        <v>0.35299999999999998</v>
      </c>
      <c r="H21" s="44">
        <f>Table132[[#This Row],[New position]]*Table132[[#This Row],[Last_Price]]</f>
        <v>285671.57999999996</v>
      </c>
      <c r="I21" s="31" t="s">
        <v>80</v>
      </c>
      <c r="L21"/>
      <c r="M21"/>
      <c r="N21"/>
      <c r="O21"/>
      <c r="P21"/>
      <c r="Q21"/>
      <c r="R21"/>
    </row>
    <row r="22" spans="1:18" x14ac:dyDescent="0.25">
      <c r="A22" s="38" t="s">
        <v>54</v>
      </c>
      <c r="B22" s="38" t="s">
        <v>14</v>
      </c>
      <c r="C22" s="51">
        <v>462.56</v>
      </c>
      <c r="D22" s="38">
        <v>641</v>
      </c>
      <c r="E22" s="38">
        <v>641</v>
      </c>
      <c r="F22" s="37">
        <f>Table132[[#This Row],[New position]]-Table132[[#This Row],[Old position]]</f>
        <v>0</v>
      </c>
      <c r="G22" s="38">
        <v>0.35299999999999998</v>
      </c>
      <c r="H22" s="44">
        <f>Table132[[#This Row],[New position]]*Table132[[#This Row],[Last_Price]]</f>
        <v>296500.96000000002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50</v>
      </c>
      <c r="B23" s="38" t="s">
        <v>14</v>
      </c>
      <c r="C23" s="51">
        <v>347.2</v>
      </c>
      <c r="D23" s="38">
        <v>839</v>
      </c>
      <c r="E23" s="38">
        <v>839</v>
      </c>
      <c r="F23" s="37">
        <f>Table132[[#This Row],[New position]]-Table132[[#This Row],[Old position]]</f>
        <v>0</v>
      </c>
      <c r="G23" s="38">
        <v>0.35299999999999998</v>
      </c>
      <c r="H23" s="44">
        <f>Table132[[#This Row],[New position]]*Table132[[#This Row],[Last_Price]]</f>
        <v>291300.8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30</v>
      </c>
      <c r="B24" s="38" t="s">
        <v>14</v>
      </c>
      <c r="C24" s="51">
        <v>260.3</v>
      </c>
      <c r="D24" s="38">
        <v>1127</v>
      </c>
      <c r="E24" s="38">
        <v>1127</v>
      </c>
      <c r="F24" s="37">
        <f>Table132[[#This Row],[New position]]-Table132[[#This Row],[Old position]]</f>
        <v>0</v>
      </c>
      <c r="G24" s="38">
        <v>0.35299999999999998</v>
      </c>
      <c r="H24" s="44">
        <f>Table132[[#This Row],[New position]]*Table132[[#This Row],[Last_Price]]</f>
        <v>293358.10000000003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52</v>
      </c>
      <c r="B25" s="38" t="s">
        <v>14</v>
      </c>
      <c r="C25" s="51">
        <v>2952</v>
      </c>
      <c r="D25" s="38">
        <v>95</v>
      </c>
      <c r="E25" s="38">
        <v>95</v>
      </c>
      <c r="F25" s="37">
        <f>Table132[[#This Row],[New position]]-Table132[[#This Row],[Old position]]</f>
        <v>0</v>
      </c>
      <c r="G25" s="38">
        <v>0.35299999999999998</v>
      </c>
      <c r="H25" s="44">
        <f>Table132[[#This Row],[New position]]*Table132[[#This Row],[Last_Price]]</f>
        <v>280440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57</v>
      </c>
      <c r="B26" s="38" t="s">
        <v>14</v>
      </c>
      <c r="C26" s="51">
        <v>36.159999999999997</v>
      </c>
      <c r="D26" s="38">
        <v>7929</v>
      </c>
      <c r="E26" s="38">
        <v>7929</v>
      </c>
      <c r="F26" s="37">
        <f>Table132[[#This Row],[New position]]-Table132[[#This Row],[Old position]]</f>
        <v>0</v>
      </c>
      <c r="G26" s="38">
        <v>0.35299999999999998</v>
      </c>
      <c r="H26" s="44">
        <f>Table132[[#This Row],[New position]]*Table132[[#This Row],[Last_Price]]</f>
        <v>286712.63999999996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58</v>
      </c>
      <c r="B27" s="38" t="s">
        <v>14</v>
      </c>
      <c r="C27" s="51">
        <v>44.11</v>
      </c>
      <c r="D27" s="38">
        <v>6607</v>
      </c>
      <c r="E27" s="38">
        <v>6607</v>
      </c>
      <c r="F27" s="37">
        <f>Table132[[#This Row],[New position]]-Table132[[#This Row],[Old position]]</f>
        <v>0</v>
      </c>
      <c r="G27" s="38">
        <v>0.35299999999999998</v>
      </c>
      <c r="H27" s="44">
        <f>Table132[[#This Row],[New position]]*Table132[[#This Row],[Last_Price]]</f>
        <v>291434.77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60</v>
      </c>
      <c r="B28" s="38" t="s">
        <v>14</v>
      </c>
      <c r="C28" s="51">
        <v>219.39</v>
      </c>
      <c r="D28" s="38">
        <v>1347</v>
      </c>
      <c r="E28" s="38">
        <v>1347</v>
      </c>
      <c r="F28" s="37">
        <f>Table132[[#This Row],[New position]]-Table132[[#This Row],[Old position]]</f>
        <v>0</v>
      </c>
      <c r="G28" s="38">
        <v>0.35299999999999998</v>
      </c>
      <c r="H28" s="44">
        <f>Table132[[#This Row],[New position]]*Table132[[#This Row],[Last_Price]]</f>
        <v>295518.32999999996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61</v>
      </c>
      <c r="B29" s="38" t="s">
        <v>14</v>
      </c>
      <c r="C29" s="51">
        <v>222.32</v>
      </c>
      <c r="D29" s="38">
        <v>1301</v>
      </c>
      <c r="E29" s="38">
        <v>1301</v>
      </c>
      <c r="F29" s="37">
        <f>Table132[[#This Row],[New position]]-Table132[[#This Row],[Old position]]</f>
        <v>0</v>
      </c>
      <c r="G29" s="38">
        <v>0.35299999999999998</v>
      </c>
      <c r="H29" s="44">
        <f>Table132[[#This Row],[New position]]*Table132[[#This Row],[Last_Price]]</f>
        <v>289238.32</v>
      </c>
      <c r="I29" s="56"/>
      <c r="L29"/>
      <c r="M29"/>
      <c r="N29"/>
      <c r="O29"/>
      <c r="P29"/>
      <c r="Q29"/>
      <c r="R29"/>
    </row>
    <row r="30" spans="1:18" x14ac:dyDescent="0.25">
      <c r="A30" s="38" t="s">
        <v>62</v>
      </c>
      <c r="B30" s="38" t="s">
        <v>14</v>
      </c>
      <c r="C30" s="51">
        <v>371.6</v>
      </c>
      <c r="D30" s="38">
        <v>802</v>
      </c>
      <c r="E30" s="38">
        <v>802</v>
      </c>
      <c r="F30" s="37">
        <f>Table132[[#This Row],[New position]]-Table132[[#This Row],[Old position]]</f>
        <v>0</v>
      </c>
      <c r="G30" s="38">
        <v>0.35299999999999998</v>
      </c>
      <c r="H30" s="44">
        <f>Table132[[#This Row],[New position]]*Table132[[#This Row],[Last_Price]]</f>
        <v>298023.2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63</v>
      </c>
      <c r="B31" s="38" t="s">
        <v>14</v>
      </c>
      <c r="C31" s="51">
        <v>188.8</v>
      </c>
      <c r="D31" s="38">
        <v>1557</v>
      </c>
      <c r="E31" s="38">
        <v>1557</v>
      </c>
      <c r="F31" s="37">
        <f>Table132[[#This Row],[New position]]-Table132[[#This Row],[Old position]]</f>
        <v>0</v>
      </c>
      <c r="G31" s="38">
        <v>0.35299999999999998</v>
      </c>
      <c r="H31" s="44">
        <f>Table132[[#This Row],[New position]]*Table132[[#This Row],[Last_Price]]</f>
        <v>293961.60000000003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64</v>
      </c>
      <c r="B32" s="38" t="s">
        <v>14</v>
      </c>
      <c r="C32" s="51">
        <v>148.38</v>
      </c>
      <c r="D32" s="38">
        <v>1932</v>
      </c>
      <c r="E32" s="38">
        <v>1932</v>
      </c>
      <c r="F32" s="37">
        <f>Table132[[#This Row],[New position]]-Table132[[#This Row],[Old position]]</f>
        <v>0</v>
      </c>
      <c r="G32" s="38">
        <v>0.35299999999999998</v>
      </c>
      <c r="H32" s="44">
        <f>Table132[[#This Row],[New position]]*Table132[[#This Row],[Last_Price]]</f>
        <v>286670.15999999997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366.53</v>
      </c>
      <c r="D33" s="38">
        <v>153578</v>
      </c>
      <c r="E33" s="38">
        <f>ROUND(Table132[[#This Row],[Target allocation ($)]]/Table132[[#This Row],[Last_Price]],0)</f>
        <v>167568</v>
      </c>
      <c r="F33" s="37">
        <f>Table132[[#This Row],[New position]]-Table132[[#This Row],[Old position]]</f>
        <v>13990</v>
      </c>
      <c r="G33" s="59">
        <f>G60*100</f>
        <v>68.71136417252049</v>
      </c>
      <c r="H33" s="44">
        <f>C4*C9</f>
        <v>61418772</v>
      </c>
      <c r="I33" s="31" t="s">
        <v>78</v>
      </c>
      <c r="L33"/>
      <c r="M33"/>
      <c r="N33"/>
      <c r="O33"/>
      <c r="P33"/>
      <c r="Q33"/>
      <c r="R33"/>
    </row>
    <row r="34" spans="1:18" x14ac:dyDescent="0.25">
      <c r="A34" s="38" t="s">
        <v>65</v>
      </c>
      <c r="B34" s="38" t="s">
        <v>14</v>
      </c>
      <c r="C34" s="51">
        <v>39.68</v>
      </c>
      <c r="D34" s="38">
        <v>22894</v>
      </c>
      <c r="E34" s="38">
        <v>45054</v>
      </c>
      <c r="F34" s="37">
        <f>Table132[[#This Row],[New position]]-Table132[[#This Row],[Old position]]</f>
        <v>22160</v>
      </c>
      <c r="G34" s="38">
        <v>2</v>
      </c>
      <c r="H34" s="44">
        <v>1787732.57</v>
      </c>
      <c r="I34" s="31" t="s">
        <v>73</v>
      </c>
      <c r="L34"/>
      <c r="M34"/>
      <c r="N34"/>
      <c r="O34"/>
      <c r="P34"/>
      <c r="Q34"/>
      <c r="R34"/>
    </row>
    <row r="35" spans="1:18" x14ac:dyDescent="0.25">
      <c r="A35" s="38" t="s">
        <v>68</v>
      </c>
      <c r="B35" s="38" t="s">
        <v>14</v>
      </c>
      <c r="C35" s="51">
        <v>43.31</v>
      </c>
      <c r="D35" s="38">
        <v>0</v>
      </c>
      <c r="E35" s="38">
        <v>6880</v>
      </c>
      <c r="F35" s="37">
        <f>Table132[[#This Row],[New position]]-Table132[[#This Row],[Old position]]</f>
        <v>6880</v>
      </c>
      <c r="G35" s="38">
        <v>0.33300000000000002</v>
      </c>
      <c r="H35" s="44">
        <v>297955.40000000002</v>
      </c>
      <c r="I35" s="31" t="s">
        <v>74</v>
      </c>
      <c r="L35"/>
      <c r="M35"/>
      <c r="N35"/>
      <c r="O35"/>
      <c r="P35"/>
      <c r="Q35"/>
      <c r="R35"/>
    </row>
    <row r="36" spans="1:18" x14ac:dyDescent="0.25">
      <c r="A36" s="38" t="s">
        <v>69</v>
      </c>
      <c r="B36" s="38" t="s">
        <v>14</v>
      </c>
      <c r="C36" s="51">
        <v>14.92</v>
      </c>
      <c r="D36" s="38">
        <v>0</v>
      </c>
      <c r="E36" s="38">
        <v>19970</v>
      </c>
      <c r="F36" s="37">
        <f>Table132[[#This Row],[New position]]-Table132[[#This Row],[Old position]]</f>
        <v>19970</v>
      </c>
      <c r="G36" s="38">
        <v>0.33300000000000002</v>
      </c>
      <c r="H36" s="44">
        <v>297955.40000000002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70</v>
      </c>
      <c r="B37" s="38" t="s">
        <v>14</v>
      </c>
      <c r="C37" s="51">
        <v>22.26</v>
      </c>
      <c r="D37" s="38">
        <v>0</v>
      </c>
      <c r="E37" s="38">
        <v>13385</v>
      </c>
      <c r="F37" s="37">
        <f>Table132[[#This Row],[New position]]-Table132[[#This Row],[Old position]]</f>
        <v>13385</v>
      </c>
      <c r="G37" s="38">
        <v>0.33300000000000002</v>
      </c>
      <c r="H37" s="44">
        <v>297955.40000000002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25</v>
      </c>
      <c r="B38" s="38" t="s">
        <v>14</v>
      </c>
      <c r="C38" s="51">
        <v>97.14</v>
      </c>
      <c r="D38" s="38">
        <v>18133</v>
      </c>
      <c r="E38" s="38">
        <v>4601</v>
      </c>
      <c r="F38" s="37">
        <f>Table132[[#This Row],[New position]]-Table132[[#This Row],[Old position]]</f>
        <v>-13532</v>
      </c>
      <c r="G38" s="38">
        <v>0.5</v>
      </c>
      <c r="H38" s="44">
        <v>446933.14</v>
      </c>
      <c r="I38" s="31" t="s">
        <v>71</v>
      </c>
      <c r="L38"/>
      <c r="M38"/>
      <c r="N38"/>
      <c r="O38"/>
      <c r="P38"/>
      <c r="Q38"/>
      <c r="R38"/>
    </row>
    <row r="39" spans="1:18" x14ac:dyDescent="0.25">
      <c r="A39" s="38" t="s">
        <v>26</v>
      </c>
      <c r="B39" s="38" t="s">
        <v>14</v>
      </c>
      <c r="C39" s="51">
        <v>49.73</v>
      </c>
      <c r="D39" s="38">
        <v>35286</v>
      </c>
      <c r="E39" s="38">
        <v>8987</v>
      </c>
      <c r="F39" s="37">
        <f>Table132[[#This Row],[New position]]-Table132[[#This Row],[Old position]]</f>
        <v>-26299</v>
      </c>
      <c r="G39" s="38">
        <v>0.5</v>
      </c>
      <c r="H39" s="44">
        <v>446933.14</v>
      </c>
      <c r="I39" s="30" t="s">
        <v>72</v>
      </c>
      <c r="L39"/>
      <c r="M39"/>
      <c r="N39"/>
      <c r="O39"/>
      <c r="P39"/>
      <c r="Q39"/>
      <c r="R39"/>
    </row>
    <row r="40" spans="1:18" x14ac:dyDescent="0.25">
      <c r="A40" s="38" t="s">
        <v>27</v>
      </c>
      <c r="B40" s="38" t="s">
        <v>14</v>
      </c>
      <c r="C40" s="51">
        <v>72.75</v>
      </c>
      <c r="D40" s="38">
        <v>24001</v>
      </c>
      <c r="E40" s="38">
        <v>6143</v>
      </c>
      <c r="F40" s="37">
        <f>Table132[[#This Row],[New position]]-Table132[[#This Row],[Old position]]</f>
        <v>-17858</v>
      </c>
      <c r="G40" s="38">
        <v>0.5</v>
      </c>
      <c r="H40" s="44">
        <v>446933.14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29</v>
      </c>
      <c r="B41" s="38" t="s">
        <v>14</v>
      </c>
      <c r="C41" s="51">
        <v>15.74</v>
      </c>
      <c r="D41" s="38">
        <v>111266</v>
      </c>
      <c r="E41" s="38">
        <v>28395</v>
      </c>
      <c r="F41" s="37">
        <f>Table132[[#This Row],[New position]]-Table132[[#This Row],[Old position]]</f>
        <v>-82871</v>
      </c>
      <c r="G41" s="38">
        <v>0.5</v>
      </c>
      <c r="H41" s="44">
        <v>446933.14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43</v>
      </c>
      <c r="B42" s="38" t="s">
        <v>14</v>
      </c>
      <c r="C42" s="51">
        <v>48.42</v>
      </c>
      <c r="D42" s="38">
        <v>36172</v>
      </c>
      <c r="E42" s="38">
        <v>0</v>
      </c>
      <c r="F42" s="37">
        <f>Table132[[#This Row],[New position]]-Table132[[#This Row],[Old position]]</f>
        <v>-36172</v>
      </c>
      <c r="G42" s="38">
        <v>0</v>
      </c>
      <c r="H42" s="44">
        <v>0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32</v>
      </c>
      <c r="B43" s="38" t="s">
        <v>14</v>
      </c>
      <c r="C43" s="51">
        <v>49.07</v>
      </c>
      <c r="D43" s="38">
        <v>35767</v>
      </c>
      <c r="E43" s="38">
        <v>0</v>
      </c>
      <c r="F43" s="37">
        <f>Table132[[#This Row],[New position]]-Table132[[#This Row],[Old position]]</f>
        <v>-35767</v>
      </c>
      <c r="G43" s="38">
        <v>0</v>
      </c>
      <c r="H43" s="44">
        <v>0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35</v>
      </c>
      <c r="B44" s="38" t="s">
        <v>15</v>
      </c>
      <c r="C44" s="51">
        <v>104100</v>
      </c>
      <c r="D44" s="38">
        <v>17</v>
      </c>
      <c r="E44" s="38">
        <v>4</v>
      </c>
      <c r="F44" s="37">
        <f>Table132[[#This Row],[New position]]-Table132[[#This Row],[Old position]]</f>
        <v>-13</v>
      </c>
      <c r="G44" s="38">
        <v>0.5</v>
      </c>
      <c r="H44" s="44">
        <v>446933.14</v>
      </c>
      <c r="I44" s="31"/>
      <c r="L44" s="58"/>
      <c r="M44"/>
      <c r="N44"/>
      <c r="O44"/>
      <c r="P44"/>
      <c r="Q44"/>
      <c r="R44"/>
    </row>
    <row r="45" spans="1:18" x14ac:dyDescent="0.25">
      <c r="A45" s="38" t="s">
        <v>38</v>
      </c>
      <c r="B45" s="38" t="s">
        <v>15</v>
      </c>
      <c r="C45" s="51">
        <v>105070</v>
      </c>
      <c r="D45" s="38">
        <v>17</v>
      </c>
      <c r="E45" s="38">
        <v>4</v>
      </c>
      <c r="F45" s="37">
        <f>Table132[[#This Row],[New position]]-Table132[[#This Row],[Old position]]</f>
        <v>-13</v>
      </c>
      <c r="G45" s="38">
        <v>0.5</v>
      </c>
      <c r="H45" s="44">
        <v>446933.14</v>
      </c>
      <c r="I45" s="30"/>
      <c r="L45" s="58"/>
      <c r="M45"/>
      <c r="N45"/>
      <c r="O45"/>
      <c r="P45"/>
      <c r="Q45"/>
      <c r="R45"/>
    </row>
    <row r="46" spans="1:18" x14ac:dyDescent="0.25">
      <c r="A46" s="49" t="s">
        <v>39</v>
      </c>
      <c r="B46" s="49" t="s">
        <v>15</v>
      </c>
      <c r="C46" s="51">
        <v>116070</v>
      </c>
      <c r="D46" s="57">
        <v>15</v>
      </c>
      <c r="E46" s="38">
        <v>4</v>
      </c>
      <c r="F46" s="37">
        <f>Table132[[#This Row],[New position]]-Table132[[#This Row],[Old position]]</f>
        <v>-11</v>
      </c>
      <c r="G46" s="38">
        <v>0.5</v>
      </c>
      <c r="H46" s="51">
        <v>446933.14</v>
      </c>
      <c r="I46" s="31"/>
      <c r="L46"/>
      <c r="M46"/>
      <c r="N46"/>
      <c r="O46"/>
      <c r="P46"/>
      <c r="Q46"/>
      <c r="R46"/>
    </row>
    <row r="47" spans="1:18" x14ac:dyDescent="0.25">
      <c r="A47" s="38" t="s">
        <v>53</v>
      </c>
      <c r="B47" s="38" t="s">
        <v>15</v>
      </c>
      <c r="C47" s="51">
        <v>93890</v>
      </c>
      <c r="D47" s="38">
        <v>19</v>
      </c>
      <c r="E47" s="38">
        <v>5</v>
      </c>
      <c r="F47" s="37">
        <f>Table132[[#This Row],[New position]]-Table132[[#This Row],[Old position]]</f>
        <v>-14</v>
      </c>
      <c r="G47" s="38">
        <v>0.5</v>
      </c>
      <c r="H47" s="44">
        <v>446933.14</v>
      </c>
      <c r="I47" s="31"/>
      <c r="L47"/>
      <c r="M47"/>
      <c r="N47"/>
      <c r="O47"/>
      <c r="P47"/>
      <c r="Q47"/>
      <c r="R47"/>
    </row>
    <row r="48" spans="1:18" x14ac:dyDescent="0.25">
      <c r="A48" s="49" t="s">
        <v>66</v>
      </c>
      <c r="B48" s="49" t="s">
        <v>14</v>
      </c>
      <c r="C48" s="51">
        <v>36.33</v>
      </c>
      <c r="D48" s="57">
        <v>24710</v>
      </c>
      <c r="E48" s="38">
        <v>24710</v>
      </c>
      <c r="F48" s="37">
        <f>Table132[[#This Row],[New position]]-Table132[[#This Row],[Old position]]</f>
        <v>0</v>
      </c>
      <c r="G48" s="38">
        <v>1</v>
      </c>
      <c r="H48" s="51">
        <v>893866.29</v>
      </c>
      <c r="I48" s="31"/>
      <c r="L48"/>
      <c r="M48"/>
      <c r="N48"/>
      <c r="O48"/>
      <c r="P48"/>
      <c r="Q48"/>
      <c r="R48"/>
    </row>
    <row r="49" spans="1:18" x14ac:dyDescent="0.25">
      <c r="A49" s="49"/>
      <c r="B49" s="49"/>
      <c r="C49" s="50"/>
      <c r="D49" s="39"/>
      <c r="E49" s="40"/>
      <c r="F49" s="35"/>
      <c r="G49" s="38"/>
      <c r="H49" s="51"/>
      <c r="I49" s="31"/>
      <c r="L49"/>
      <c r="M49"/>
      <c r="N49"/>
      <c r="O49"/>
      <c r="P49"/>
      <c r="Q49"/>
      <c r="R49"/>
    </row>
    <row r="50" spans="1:18" x14ac:dyDescent="0.25">
      <c r="A50" s="49"/>
      <c r="B50" s="49"/>
      <c r="C50" s="50"/>
      <c r="D50" s="39"/>
      <c r="E50" s="40"/>
      <c r="F50" s="35"/>
      <c r="G50" s="38"/>
      <c r="H50" s="51"/>
      <c r="I50" s="31"/>
      <c r="L50"/>
      <c r="M50"/>
      <c r="N50"/>
      <c r="O50"/>
      <c r="P50"/>
      <c r="Q50"/>
      <c r="R50"/>
    </row>
    <row r="51" spans="1:18" x14ac:dyDescent="0.25">
      <c r="A51" s="49"/>
      <c r="B51" s="49"/>
      <c r="C51" s="50"/>
      <c r="D51" s="39"/>
      <c r="E51" s="40"/>
      <c r="F51" s="35"/>
      <c r="G51" s="38"/>
      <c r="H51" s="51"/>
      <c r="I51" s="31"/>
      <c r="L51"/>
      <c r="M51"/>
      <c r="N51"/>
      <c r="O51"/>
      <c r="P51"/>
      <c r="Q51"/>
      <c r="R51"/>
    </row>
    <row r="52" spans="1:18" x14ac:dyDescent="0.25">
      <c r="A52" s="49"/>
      <c r="B52" s="49"/>
      <c r="C52" s="50"/>
      <c r="D52" s="39"/>
      <c r="E52" s="40"/>
      <c r="F52" s="35"/>
      <c r="G52" s="38"/>
      <c r="H52" s="51"/>
      <c r="I52" s="55"/>
      <c r="L52"/>
      <c r="M52"/>
      <c r="N52"/>
      <c r="O52"/>
      <c r="P52"/>
      <c r="Q52"/>
      <c r="R52"/>
    </row>
    <row r="53" spans="1:18" ht="45" x14ac:dyDescent="0.25">
      <c r="A53" s="49" t="s">
        <v>67</v>
      </c>
      <c r="B53" s="49"/>
      <c r="C53" s="50"/>
      <c r="D53" s="39"/>
      <c r="E53" s="40"/>
      <c r="F53" s="35"/>
      <c r="G53" s="38">
        <f xml:space="preserve"> (C13+G61*G54)/C9</f>
        <v>2.6196540000000006</v>
      </c>
      <c r="H53" s="51"/>
      <c r="I53" s="55"/>
      <c r="L53"/>
      <c r="M53"/>
      <c r="N53"/>
      <c r="O53"/>
      <c r="P53"/>
      <c r="Q53"/>
      <c r="R53"/>
    </row>
    <row r="54" spans="1:18" ht="30" x14ac:dyDescent="0.25">
      <c r="A54" s="49" t="s">
        <v>59</v>
      </c>
      <c r="B54" s="49"/>
      <c r="C54" s="50"/>
      <c r="D54" s="39"/>
      <c r="E54" s="40"/>
      <c r="F54" s="35"/>
      <c r="G54" s="38">
        <v>2.6196540000000001</v>
      </c>
      <c r="H54" s="51"/>
      <c r="I54" s="55"/>
      <c r="L54"/>
      <c r="M54"/>
      <c r="N54"/>
      <c r="O54"/>
      <c r="P54"/>
      <c r="Q54"/>
      <c r="R54"/>
    </row>
    <row r="55" spans="1:18" x14ac:dyDescent="0.25">
      <c r="A55" s="38" t="s">
        <v>44</v>
      </c>
      <c r="B55" s="38"/>
      <c r="C55" s="38"/>
      <c r="D55" s="38"/>
      <c r="E55" s="28"/>
      <c r="F55" s="52" t="s">
        <v>44</v>
      </c>
      <c r="G55" s="59">
        <f>SUM(H16:H37)/(G54*C9)</f>
        <v>0.77231580592744287</v>
      </c>
      <c r="H55" s="38"/>
      <c r="I55" s="31"/>
      <c r="L55"/>
      <c r="M55"/>
      <c r="N55"/>
      <c r="O55"/>
      <c r="P55"/>
      <c r="Q55"/>
      <c r="R55"/>
    </row>
    <row r="56" spans="1:18" x14ac:dyDescent="0.25">
      <c r="A56" s="38" t="s">
        <v>45</v>
      </c>
      <c r="B56" s="49"/>
      <c r="C56" s="50"/>
      <c r="D56" s="39"/>
      <c r="E56" s="40"/>
      <c r="F56" s="52" t="s">
        <v>45</v>
      </c>
      <c r="G56" s="59">
        <f>SUM(H38:H47)/(G54*C9)</f>
        <v>3.9999999665650224E-2</v>
      </c>
      <c r="H56" s="51"/>
      <c r="I56" s="31"/>
      <c r="L56"/>
      <c r="M56"/>
      <c r="N56"/>
      <c r="O56"/>
      <c r="P56"/>
      <c r="Q56"/>
      <c r="R56"/>
    </row>
    <row r="57" spans="1:18" x14ac:dyDescent="0.25">
      <c r="A57" s="49" t="s">
        <v>47</v>
      </c>
      <c r="B57" s="38"/>
      <c r="C57" s="38"/>
      <c r="D57" s="38"/>
      <c r="E57" s="28"/>
      <c r="F57" s="53" t="s">
        <v>47</v>
      </c>
      <c r="G57" s="59">
        <f>H48/(G54*C12)</f>
        <v>1.000000002828611E-2</v>
      </c>
      <c r="H57" s="38"/>
      <c r="I57" s="32"/>
      <c r="L57"/>
      <c r="M57"/>
      <c r="N57"/>
      <c r="O57"/>
      <c r="P57"/>
      <c r="Q57"/>
      <c r="R57"/>
    </row>
    <row r="58" spans="1:18" x14ac:dyDescent="0.25">
      <c r="A58" s="38" t="s">
        <v>46</v>
      </c>
      <c r="B58" s="38"/>
      <c r="C58" s="38"/>
      <c r="D58" s="38"/>
      <c r="E58" s="28"/>
      <c r="F58" s="52" t="s">
        <v>46</v>
      </c>
      <c r="G58" s="59">
        <f>0/(G54*C9)</f>
        <v>0</v>
      </c>
      <c r="H58" s="38"/>
      <c r="I58" s="33"/>
      <c r="L58"/>
      <c r="M58"/>
      <c r="N58"/>
      <c r="O58"/>
      <c r="P58"/>
      <c r="Q58"/>
      <c r="R58"/>
    </row>
    <row r="59" spans="1:18" x14ac:dyDescent="0.25">
      <c r="A59" s="38" t="s">
        <v>24</v>
      </c>
      <c r="B59" s="38"/>
      <c r="C59" s="38"/>
      <c r="D59" s="38"/>
      <c r="E59" s="28"/>
      <c r="F59" s="52" t="s">
        <v>24</v>
      </c>
      <c r="G59" s="59">
        <f>1-SUM(G55:G58)</f>
        <v>0.17768419437862071</v>
      </c>
      <c r="H59" s="38"/>
      <c r="I59" s="31"/>
      <c r="L59"/>
      <c r="M59"/>
      <c r="N59"/>
      <c r="O59"/>
      <c r="P59"/>
      <c r="Q59"/>
      <c r="R59"/>
    </row>
    <row r="60" spans="1:18" x14ac:dyDescent="0.25">
      <c r="A60" s="49" t="s">
        <v>11</v>
      </c>
      <c r="B60" s="49"/>
      <c r="C60" s="50"/>
      <c r="D60" s="39"/>
      <c r="E60" s="40"/>
      <c r="F60" s="38"/>
      <c r="G60" s="59">
        <f>SUM(H33)/(G54*C9)</f>
        <v>0.68711364172520495</v>
      </c>
      <c r="H60" s="51"/>
      <c r="I60" s="31"/>
      <c r="L60"/>
      <c r="M60"/>
      <c r="N60"/>
      <c r="O60"/>
      <c r="P60"/>
      <c r="Q60"/>
      <c r="R60"/>
    </row>
    <row r="61" spans="1:18" x14ac:dyDescent="0.25">
      <c r="A61" s="28" t="s">
        <v>51</v>
      </c>
      <c r="B61" s="28"/>
      <c r="C61" s="36"/>
      <c r="D61" s="28"/>
      <c r="E61" s="28"/>
      <c r="F61" s="35"/>
      <c r="G61" s="38">
        <f>C12*G59</f>
        <v>6062858.3458578819</v>
      </c>
      <c r="H61" s="44"/>
      <c r="I61" s="34"/>
      <c r="L61"/>
      <c r="M61"/>
      <c r="N61"/>
      <c r="O61"/>
      <c r="P61"/>
      <c r="Q61"/>
      <c r="R61"/>
    </row>
    <row r="62" spans="1:18" x14ac:dyDescent="0.25">
      <c r="A62" s="28"/>
      <c r="B62" s="28"/>
      <c r="C62" s="36"/>
      <c r="D62" s="28"/>
      <c r="E62" s="28"/>
      <c r="F62" s="28"/>
      <c r="G62" s="38"/>
      <c r="H62" s="44"/>
      <c r="I62" s="31"/>
      <c r="L62"/>
      <c r="M62"/>
      <c r="N62"/>
      <c r="O62"/>
      <c r="P62"/>
      <c r="Q62"/>
      <c r="R62"/>
    </row>
    <row r="63" spans="1:18" x14ac:dyDescent="0.25">
      <c r="A63" s="28"/>
      <c r="B63" s="28"/>
      <c r="C63" s="36"/>
      <c r="D63" s="28"/>
      <c r="E63" s="28"/>
      <c r="F63" s="35"/>
      <c r="G63" s="38"/>
      <c r="H63" s="44"/>
      <c r="I63" s="31"/>
      <c r="L63"/>
      <c r="M63"/>
      <c r="N63"/>
      <c r="O63"/>
      <c r="P63"/>
      <c r="Q63"/>
      <c r="R63"/>
    </row>
    <row r="64" spans="1:18" x14ac:dyDescent="0.25">
      <c r="A64" s="28"/>
      <c r="B64" s="28"/>
      <c r="C64" s="36"/>
      <c r="D64" s="28"/>
      <c r="E64" s="28"/>
      <c r="F64" s="35"/>
      <c r="G64" s="38"/>
      <c r="H64" s="44"/>
      <c r="I64" s="31"/>
      <c r="L64"/>
      <c r="M64"/>
      <c r="N64"/>
      <c r="O64"/>
      <c r="P64"/>
      <c r="Q64"/>
      <c r="R64"/>
    </row>
    <row r="65" spans="1:18" x14ac:dyDescent="0.25">
      <c r="A65" s="22"/>
      <c r="B65" s="5" t="s">
        <v>22</v>
      </c>
      <c r="D65" s="1"/>
      <c r="E65" s="5" t="s">
        <v>21</v>
      </c>
      <c r="F65" s="1"/>
      <c r="G65" s="5"/>
      <c r="H65" s="45" t="s">
        <v>2</v>
      </c>
      <c r="I65" s="4"/>
      <c r="L65"/>
      <c r="M65"/>
      <c r="N65"/>
      <c r="O65"/>
      <c r="P65"/>
      <c r="Q65"/>
      <c r="R65"/>
    </row>
    <row r="66" spans="1:18" x14ac:dyDescent="0.25">
      <c r="B66" s="5" t="s">
        <v>40</v>
      </c>
      <c r="D66" s="1"/>
      <c r="E66" s="5" t="s">
        <v>40</v>
      </c>
      <c r="F66" s="1"/>
      <c r="G66" s="5"/>
      <c r="H66" s="45" t="s">
        <v>3</v>
      </c>
      <c r="L66"/>
      <c r="M66"/>
      <c r="N66"/>
      <c r="O66"/>
      <c r="P66"/>
      <c r="Q66"/>
      <c r="R66"/>
    </row>
    <row r="67" spans="1:18" x14ac:dyDescent="0.25">
      <c r="B67" s="3"/>
      <c r="C67"/>
      <c r="D67" s="1"/>
      <c r="E67" s="3"/>
      <c r="F67" s="21"/>
      <c r="G67" s="3"/>
      <c r="H67" s="46"/>
      <c r="L67"/>
      <c r="M67"/>
      <c r="N67"/>
      <c r="O67"/>
      <c r="P67"/>
      <c r="Q67"/>
      <c r="R67"/>
    </row>
    <row r="68" spans="1:18" x14ac:dyDescent="0.25">
      <c r="C68"/>
      <c r="L68"/>
      <c r="M68"/>
      <c r="N68"/>
      <c r="O68"/>
      <c r="P68"/>
      <c r="Q68"/>
      <c r="R68"/>
    </row>
    <row r="69" spans="1:18" x14ac:dyDescent="0.25"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2023-10-17T02:11:33Z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