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018" documentId="14_{A48F4B07-3EF3-43E5-91B2-4CA340E6013A}" xr6:coauthVersionLast="47" xr6:coauthVersionMax="47" xr10:uidLastSave="{6ED963EC-3F5E-4A0E-ABC6-5668125D271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H33" i="3"/>
  <c r="G58" i="3" s="1"/>
  <c r="G33" i="3" s="1"/>
  <c r="F35" i="3"/>
  <c r="F36" i="3"/>
  <c r="H42" i="3"/>
  <c r="H43" i="3"/>
  <c r="H44" i="3"/>
  <c r="H45" i="3"/>
  <c r="H39" i="3"/>
  <c r="H40" i="3"/>
  <c r="H41" i="3"/>
  <c r="H38" i="3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16" i="3"/>
  <c r="G54" i="3" l="1"/>
  <c r="C13" i="3" a="1"/>
  <c r="F46" i="3"/>
  <c r="G53" i="3" l="1"/>
  <c r="C13" i="3"/>
  <c r="G56" i="3"/>
  <c r="F38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7" i="3"/>
  <c r="F39" i="3"/>
  <c r="F40" i="3"/>
  <c r="F41" i="3"/>
  <c r="F42" i="3"/>
  <c r="F43" i="3"/>
  <c r="F44" i="3"/>
  <c r="F45" i="3"/>
  <c r="C12" i="3"/>
  <c r="C5" i="3" s="1"/>
  <c r="G55" i="3" l="1"/>
  <c r="G57" i="3" s="1"/>
  <c r="G59" i="3" s="1"/>
  <c r="G51" i="3" s="1"/>
  <c r="C6" i="3"/>
  <c r="C2" i="3"/>
  <c r="C3" i="3"/>
  <c r="C8" i="3"/>
  <c r="C7" i="3"/>
  <c r="G31" i="3" l="1"/>
  <c r="G28" i="3"/>
  <c r="G24" i="3"/>
  <c r="G20" i="3"/>
  <c r="G32" i="3"/>
  <c r="G30" i="3"/>
  <c r="G29" i="3"/>
  <c r="G26" i="3"/>
  <c r="G25" i="3"/>
  <c r="G27" i="3"/>
  <c r="G18" i="3"/>
  <c r="G16" i="3"/>
  <c r="G23" i="3"/>
  <c r="G22" i="3"/>
  <c r="G21" i="3"/>
  <c r="G19" i="3"/>
  <c r="G17" i="3"/>
</calcChain>
</file>

<file path=xl/sharedStrings.xml><?xml version="1.0" encoding="utf-8"?>
<sst xmlns="http://schemas.openxmlformats.org/spreadsheetml/2006/main" count="106" uniqueCount="70">
  <si>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</si>
  <si>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</si>
  <si>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</si>
  <si>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</si>
  <si>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</si>
  <si>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</si>
  <si>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</si>
  <si>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</si>
  <si>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</si>
  <si>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</si>
  <si>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</si>
  <si>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</si>
  <si>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</si>
  <si>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</si>
  <si>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</si>
  <si>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</si>
  <si>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</si>
  <si>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</si>
  <si>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</si>
  <si>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</si>
  <si>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</si>
  <si>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</si>
  <si>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</si>
  <si>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</si>
  <si>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</si>
  <si>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</si>
  <si>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</si>
  <si>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</si>
  <si>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</si>
  <si>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</si>
  <si>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</si>
  <si>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</si>
  <si>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</si>
  <si>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</si>
  <si>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</si>
  <si>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</si>
  <si>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</si>
  <si>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</si>
  <si>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</si>
  <si>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</si>
  <si>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</si>
  <si>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</si>
  <si>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</si>
  <si>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</si>
  <si>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</si>
  <si>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</si>
  <si>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</si>
  <si>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</si>
  <si>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</si>
  <si>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</si>
  <si>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</si>
  <si>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</si>
  <si>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</si>
  <si>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</si>
  <si>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</si>
  <si>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</si>
  <si>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</si>
  <si>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</si>
  <si>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</si>
  <si>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</si>
  <si>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</si>
  <si>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</si>
  <si>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</si>
  <si>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</si>
  <si>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</si>
  <si>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</si>
  <si>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</si>
  <si>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</si>
  <si>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</si>
  <si>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Cancelled order to hold the old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</si>
</sst>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NumberForma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Sheet1!$F$53:$F$57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Sheet1!$G$53:$G$57</c:f>
              <c:numCache>
                <c:formatCode>0.00</c:formatCode>
                <c:ptCount val="5"/>
                <c:pt idx="0">
                  <c:v>0.74836696312450701</c:v>
                </c:pt>
                <c:pt idx="1">
                  <c:v>3.8184838558454677E-2</c:v>
                </c:pt>
                <c:pt idx="2">
                  <c:v>1.0043399088545084E-2</c:v>
                </c:pt>
                <c:pt idx="3">
                  <c:v>0</c:v>
                </c:pt>
                <c:pt idx="4">
                  <c:v>0.20340479922849319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2" totalsRowShown="0" headerRowDxfId="13" dataDxfId="11" headerRowBorderDxfId="12" tableBorderDxfId="10" totalsRowBorderDxfId="9">
  <autoFilter ref="A15:I62" xr:uid="{00000000-0009-0000-0100-000001000000}"/>
  <sortState xmlns:xlrd2="http://schemas.microsoft.com/office/spreadsheetml/2017/richdata2" ref="A16:I61">
    <sortCondition ref="A15:A6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0"/>
  <sheetViews>
    <sheetView tabSelected="1" topLeftCell="A13" zoomScale="115" zoomScaleNormal="115" workbookViewId="0">
      <selection activeCell="I33" sqref="I3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45217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2.164016980297462</v>
      </c>
      <c r="D2"/>
      <c r="E2" s="25"/>
      <c r="F2" s="17"/>
      <c r="G2" s="17"/>
      <c r="H2" s="16"/>
    </row>
    <row r="3" spans="1:18" s="13" customFormat="1" x14ac:dyDescent="0.25">
      <c r="A3" s="63" t="s">
        <v>54</v>
      </c>
      <c r="B3" s="64"/>
      <c r="C3" s="15">
        <f>SUM(H16:H37)/C12</f>
        <v>2.0330009697856628</v>
      </c>
      <c r="D3"/>
      <c r="E3" s="25"/>
      <c r="F3" s="17"/>
      <c r="G3" s="17"/>
      <c r="H3" s="16"/>
    </row>
    <row r="4" spans="1:18" s="13" customFormat="1" x14ac:dyDescent="0.25">
      <c r="A4" s="63" t="s">
        <v>53</v>
      </c>
      <c r="B4" s="64"/>
      <c r="C4" s="15">
        <f>H33/C12</f>
        <v>1.8073136550611959</v>
      </c>
      <c r="D4"/>
      <c r="E4" s="25"/>
      <c r="F4" s="17"/>
      <c r="G4" s="17"/>
      <c r="H4" s="16"/>
    </row>
    <row r="5" spans="1:18" s="13" customFormat="1" x14ac:dyDescent="0.25">
      <c r="A5" s="63" t="s">
        <v>40</v>
      </c>
      <c r="B5" s="64"/>
      <c r="C5" s="15">
        <f>SUM(H38:H45)/C12</f>
        <v>0.10373228328564249</v>
      </c>
      <c r="D5"/>
      <c r="E5" s="25"/>
      <c r="F5" s="17"/>
      <c r="G5" s="17"/>
      <c r="H5" s="16"/>
    </row>
    <row r="6" spans="1:18" s="13" customFormat="1" x14ac:dyDescent="0.25">
      <c r="A6" s="63" t="s">
        <v>46</v>
      </c>
      <c r="B6" s="64"/>
      <c r="C6" s="15">
        <f>H46/C12</f>
        <v>2.7283727226157073E-2</v>
      </c>
      <c r="D6"/>
      <c r="E6" s="25"/>
      <c r="F6" s="17"/>
      <c r="G6" s="17"/>
      <c r="H6" s="16"/>
    </row>
    <row r="7" spans="1:18" s="13" customFormat="1" x14ac:dyDescent="0.25">
      <c r="A7" s="63" t="s">
        <v>41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47</v>
      </c>
      <c r="B8" s="62"/>
      <c r="C8" s="20">
        <f>(C13-SUM(H38:H46))/C12</f>
        <v>2.0330009697856624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34149814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34149814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73900777.36999999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32</v>
      </c>
      <c r="B16" s="38" t="s">
        <v>14</v>
      </c>
      <c r="C16" s="51">
        <v>610.02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65">
        <f>ROUND(Table132[[#This Row],[Target allocation ($)]]/(C9*G51)*100, 2)</f>
        <v>0.32</v>
      </c>
      <c r="H16" s="44">
        <f>Table132[[#This Row],[New position]]*Table132[[#This Row],[Last_Price]]</f>
        <v>294029.64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36</v>
      </c>
      <c r="B17" s="38" t="s">
        <v>14</v>
      </c>
      <c r="C17" s="51">
        <v>117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65">
        <f>ROUND(Table132[[#This Row],[Target allocation ($)]]/(C9*G51)*100, 2)</f>
        <v>0.32</v>
      </c>
      <c r="H17" s="44">
        <f>Table132[[#This Row],[New position]]*Table132[[#This Row],[Last_Price]]</f>
        <v>296712</v>
      </c>
      <c r="I17" s="31"/>
      <c r="K17" s="54"/>
      <c r="L17"/>
      <c r="M17"/>
      <c r="N17"/>
      <c r="O17"/>
      <c r="P17"/>
      <c r="Q17"/>
      <c r="R17"/>
    </row>
    <row r="18" spans="1:18" x14ac:dyDescent="0.25">
      <c r="A18" s="38" t="s">
        <v>31</v>
      </c>
      <c r="B18" s="38" t="s">
        <v>14</v>
      </c>
      <c r="C18" s="51">
        <v>239.91</v>
      </c>
      <c r="D18" s="38">
        <v>1193</v>
      </c>
      <c r="E18" s="38">
        <v>1193</v>
      </c>
      <c r="F18" s="37">
        <f>Table132[[#This Row],[New position]]-Table132[[#This Row],[Old position]]</f>
        <v>0</v>
      </c>
      <c r="G18" s="65">
        <f>ROUND(Table132[[#This Row],[Target allocation ($)]]/(C9*G51)*100, 2)</f>
        <v>0.31</v>
      </c>
      <c r="H18" s="44">
        <f>Table132[[#This Row],[New position]]*Table132[[#This Row],[Last_Price]]</f>
        <v>286212.63</v>
      </c>
      <c r="I18" s="60"/>
      <c r="L18"/>
      <c r="M18"/>
      <c r="N18"/>
      <c r="O18"/>
      <c r="P18"/>
      <c r="Q18"/>
      <c r="R18"/>
    </row>
    <row r="19" spans="1:18" x14ac:dyDescent="0.25">
      <c r="A19" s="38" t="s">
        <v>33</v>
      </c>
      <c r="B19" s="38" t="s">
        <v>14</v>
      </c>
      <c r="C19" s="51">
        <v>181.11</v>
      </c>
      <c r="D19" s="38">
        <v>1605</v>
      </c>
      <c r="E19" s="38">
        <v>1605</v>
      </c>
      <c r="F19" s="37">
        <f>Table132[[#This Row],[New position]]-Table132[[#This Row],[Old position]]</f>
        <v>0</v>
      </c>
      <c r="G19" s="65">
        <f>ROUND(Table132[[#This Row],[Target allocation ($)]]/(C9*G51)*100, 2)</f>
        <v>0.31</v>
      </c>
      <c r="H19" s="44">
        <f>Table132[[#This Row],[New position]]*Table132[[#This Row],[Last_Price]]</f>
        <v>290681.55000000005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28</v>
      </c>
      <c r="B20" s="38" t="s">
        <v>14</v>
      </c>
      <c r="C20" s="51">
        <v>110</v>
      </c>
      <c r="D20" s="38">
        <v>2577</v>
      </c>
      <c r="E20" s="38">
        <v>2577</v>
      </c>
      <c r="F20" s="37">
        <f>Table132[[#This Row],[New position]]-Table132[[#This Row],[Old position]]</f>
        <v>0</v>
      </c>
      <c r="G20" s="65">
        <f>ROUND(Table132[[#This Row],[Target allocation ($)]]/(C9*G51)*100, 2)</f>
        <v>0.31</v>
      </c>
      <c r="H20" s="44">
        <f>Table132[[#This Row],[New position]]*Table132[[#This Row],[Last_Price]]</f>
        <v>283470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35</v>
      </c>
      <c r="B21" s="38" t="s">
        <v>14</v>
      </c>
      <c r="C21" s="51">
        <v>69.010000000000005</v>
      </c>
      <c r="D21" s="38">
        <v>4098</v>
      </c>
      <c r="E21" s="38">
        <v>4098</v>
      </c>
      <c r="F21" s="37">
        <f>Table132[[#This Row],[New position]]-Table132[[#This Row],[Old position]]</f>
        <v>0</v>
      </c>
      <c r="G21" s="65">
        <f>ROUND(Table132[[#This Row],[Target allocation ($)]]/(C9*G51)*100, 2)</f>
        <v>0.3</v>
      </c>
      <c r="H21" s="44">
        <f>Table132[[#This Row],[New position]]*Table132[[#This Row],[Last_Price]]</f>
        <v>282802.98000000004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52</v>
      </c>
      <c r="B22" s="38" t="s">
        <v>14</v>
      </c>
      <c r="C22" s="51">
        <v>455.25</v>
      </c>
      <c r="D22" s="38">
        <v>641</v>
      </c>
      <c r="E22" s="38">
        <v>641</v>
      </c>
      <c r="F22" s="37">
        <f>Table132[[#This Row],[New position]]-Table132[[#This Row],[Old position]]</f>
        <v>0</v>
      </c>
      <c r="G22" s="65">
        <f>ROUND(Table132[[#This Row],[Target allocation ($)]]/(C9*G51)*100, 2)</f>
        <v>0.31</v>
      </c>
      <c r="H22" s="44">
        <f>Table132[[#This Row],[New position]]*Table132[[#This Row],[Last_Price]]</f>
        <v>291815.25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48</v>
      </c>
      <c r="B23" s="38" t="s">
        <v>14</v>
      </c>
      <c r="C23" s="51">
        <v>344.8</v>
      </c>
      <c r="D23" s="38">
        <v>839</v>
      </c>
      <c r="E23" s="38">
        <v>839</v>
      </c>
      <c r="F23" s="37">
        <f>Table132[[#This Row],[New position]]-Table132[[#This Row],[Old position]]</f>
        <v>0</v>
      </c>
      <c r="G23" s="65">
        <f>ROUND(Table132[[#This Row],[Target allocation ($)]]/(C9*G51)*100, 2)</f>
        <v>0.31</v>
      </c>
      <c r="H23" s="44">
        <f>Table132[[#This Row],[New position]]*Table132[[#This Row],[Last_Price]]</f>
        <v>289287.2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30</v>
      </c>
      <c r="B24" s="38" t="s">
        <v>14</v>
      </c>
      <c r="C24" s="51">
        <v>261.19</v>
      </c>
      <c r="D24" s="38">
        <v>1127</v>
      </c>
      <c r="E24" s="38">
        <v>1127</v>
      </c>
      <c r="F24" s="37">
        <f>Table132[[#This Row],[New position]]-Table132[[#This Row],[Old position]]</f>
        <v>0</v>
      </c>
      <c r="G24" s="65">
        <f>ROUND(Table132[[#This Row],[Target allocation ($)]]/(C9*G51)*100, 2)</f>
        <v>0.32</v>
      </c>
      <c r="H24" s="44">
        <f>Table132[[#This Row],[New position]]*Table132[[#This Row],[Last_Price]]</f>
        <v>294361.13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50</v>
      </c>
      <c r="B25" s="38" t="s">
        <v>14</v>
      </c>
      <c r="C25" s="51">
        <v>2978.4</v>
      </c>
      <c r="D25" s="38">
        <v>95</v>
      </c>
      <c r="E25" s="38">
        <v>95</v>
      </c>
      <c r="F25" s="37">
        <f>Table132[[#This Row],[New position]]-Table132[[#This Row],[Old position]]</f>
        <v>0</v>
      </c>
      <c r="G25" s="65">
        <f>ROUND(Table132[[#This Row],[Target allocation ($)]]/(C9*G51)*100, 2)</f>
        <v>0.3</v>
      </c>
      <c r="H25" s="44">
        <f>Table132[[#This Row],[New position]]*Table132[[#This Row],[Last_Price]]</f>
        <v>282948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35.729999999999997</v>
      </c>
      <c r="D26" s="38">
        <v>7929</v>
      </c>
      <c r="E26" s="38">
        <v>7929</v>
      </c>
      <c r="F26" s="37">
        <f>Table132[[#This Row],[New position]]-Table132[[#This Row],[Old position]]</f>
        <v>0</v>
      </c>
      <c r="G26" s="65">
        <f>ROUND(Table132[[#This Row],[Target allocation ($)]]/(C9*G51)*100, 2)</f>
        <v>0.31</v>
      </c>
      <c r="H26" s="44">
        <f>Table132[[#This Row],[New position]]*Table132[[#This Row],[Last_Price]]</f>
        <v>283303.17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44.18</v>
      </c>
      <c r="D27" s="38">
        <v>6607</v>
      </c>
      <c r="E27" s="38">
        <v>6607</v>
      </c>
      <c r="F27" s="37">
        <f>Table132[[#This Row],[New position]]-Table132[[#This Row],[Old position]]</f>
        <v>0</v>
      </c>
      <c r="G27" s="65">
        <f>ROUND(Table132[[#This Row],[Target allocation ($)]]/(C9*G51)*100, 2)</f>
        <v>0.31</v>
      </c>
      <c r="H27" s="44">
        <f>Table132[[#This Row],[New position]]*Table132[[#This Row],[Last_Price]]</f>
        <v>291897.26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58</v>
      </c>
      <c r="B28" s="38" t="s">
        <v>14</v>
      </c>
      <c r="C28" s="51">
        <v>216.5</v>
      </c>
      <c r="D28" s="38">
        <v>1347</v>
      </c>
      <c r="E28" s="38">
        <v>1347</v>
      </c>
      <c r="F28" s="37">
        <f>Table132[[#This Row],[New position]]-Table132[[#This Row],[Old position]]</f>
        <v>0</v>
      </c>
      <c r="G28" s="65">
        <f>ROUND(Table132[[#This Row],[Target allocation ($)]]/(C9*G51)*100, 2)</f>
        <v>0.31</v>
      </c>
      <c r="H28" s="44">
        <f>Table132[[#This Row],[New position]]*Table132[[#This Row],[Last_Price]]</f>
        <v>291625.5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59</v>
      </c>
      <c r="B29" s="38" t="s">
        <v>14</v>
      </c>
      <c r="C29" s="51">
        <v>223.04</v>
      </c>
      <c r="D29" s="38">
        <v>1301</v>
      </c>
      <c r="E29" s="38">
        <v>1301</v>
      </c>
      <c r="F29" s="37">
        <f>Table132[[#This Row],[New position]]-Table132[[#This Row],[Old position]]</f>
        <v>0</v>
      </c>
      <c r="G29" s="65">
        <f>ROUND(Table132[[#This Row],[Target allocation ($)]]/(C9*G51)*100, 2)</f>
        <v>0.31</v>
      </c>
      <c r="H29" s="44">
        <f>Table132[[#This Row],[New position]]*Table132[[#This Row],[Last_Price]]</f>
        <v>290175.03999999998</v>
      </c>
      <c r="I29" s="56"/>
      <c r="L29"/>
      <c r="M29"/>
      <c r="N29"/>
      <c r="O29"/>
      <c r="P29"/>
      <c r="Q29"/>
      <c r="R29"/>
    </row>
    <row r="30" spans="1:18" x14ac:dyDescent="0.25">
      <c r="A30" s="38" t="s">
        <v>60</v>
      </c>
      <c r="B30" s="38" t="s">
        <v>14</v>
      </c>
      <c r="C30" s="51">
        <v>373.5</v>
      </c>
      <c r="D30" s="38">
        <v>802</v>
      </c>
      <c r="E30" s="38">
        <v>802</v>
      </c>
      <c r="F30" s="37">
        <f>Table132[[#This Row],[New position]]-Table132[[#This Row],[Old position]]</f>
        <v>0</v>
      </c>
      <c r="G30" s="65">
        <f>ROUND(Table132[[#This Row],[Target allocation ($)]]/(C9*G51)*100, 2)</f>
        <v>0.32</v>
      </c>
      <c r="H30" s="44">
        <f>Table132[[#This Row],[New position]]*Table132[[#This Row],[Last_Price]]</f>
        <v>299547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61</v>
      </c>
      <c r="B31" s="38" t="s">
        <v>14</v>
      </c>
      <c r="C31" s="51">
        <v>187.45</v>
      </c>
      <c r="D31" s="38">
        <v>1557</v>
      </c>
      <c r="E31" s="38">
        <v>1557</v>
      </c>
      <c r="F31" s="37">
        <f>Table132[[#This Row],[New position]]-Table132[[#This Row],[Old position]]</f>
        <v>0</v>
      </c>
      <c r="G31" s="65">
        <f>ROUND(Table132[[#This Row],[Target allocation ($)]]/(C9*G51)*100, 2)</f>
        <v>0.31</v>
      </c>
      <c r="H31" s="44">
        <f>Table132[[#This Row],[New position]]*Table132[[#This Row],[Last_Price]]</f>
        <v>291859.64999999997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62</v>
      </c>
      <c r="B32" s="38" t="s">
        <v>14</v>
      </c>
      <c r="C32" s="51">
        <v>146.65</v>
      </c>
      <c r="D32" s="38">
        <v>1932</v>
      </c>
      <c r="E32" s="38">
        <v>1932</v>
      </c>
      <c r="F32" s="37">
        <f>Table132[[#This Row],[New position]]-Table132[[#This Row],[Old position]]</f>
        <v>0</v>
      </c>
      <c r="G32" s="65">
        <f>ROUND(Table132[[#This Row],[Target allocation ($)]]/(C9*G51)*100, 2)</f>
        <v>0.31</v>
      </c>
      <c r="H32" s="44">
        <f>Table132[[#This Row],[New position]]*Table132[[#This Row],[Last_Price]]</f>
        <v>283327.8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366.27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59">
        <f>G58*100</f>
        <v>66.528931936230023</v>
      </c>
      <c r="H33" s="44">
        <f>Table132[[#This Row],[New position]]*Table132[[#This Row],[Last_Price]]</f>
        <v>61719425.159999996</v>
      </c>
      <c r="I33" s="31" t="s">
        <v>69</v>
      </c>
      <c r="L33"/>
      <c r="M33"/>
      <c r="N33"/>
      <c r="O33"/>
      <c r="P33"/>
      <c r="Q33"/>
      <c r="R33"/>
    </row>
    <row r="34" spans="1:18" x14ac:dyDescent="0.25">
      <c r="A34" s="38" t="s">
        <v>63</v>
      </c>
      <c r="B34" s="38" t="s">
        <v>14</v>
      </c>
      <c r="C34" s="51">
        <v>39.67</v>
      </c>
      <c r="D34" s="38">
        <v>45054</v>
      </c>
      <c r="E34" s="38">
        <v>46771</v>
      </c>
      <c r="F34" s="37">
        <f>Table132[[#This Row],[New position]]-Table132[[#This Row],[Old position]]</f>
        <v>1717</v>
      </c>
      <c r="G34" s="38">
        <v>2</v>
      </c>
      <c r="H34" s="44">
        <v>1855416.08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66</v>
      </c>
      <c r="B35" s="38" t="s">
        <v>14</v>
      </c>
      <c r="C35" s="51">
        <v>42.96</v>
      </c>
      <c r="D35" s="38">
        <v>6880</v>
      </c>
      <c r="E35" s="38">
        <v>7198</v>
      </c>
      <c r="F35" s="37">
        <f>Table132[[#This Row],[New position]]-Table132[[#This Row],[Old position]]</f>
        <v>318</v>
      </c>
      <c r="G35" s="38">
        <v>0.33300000000000002</v>
      </c>
      <c r="H35" s="44">
        <v>309235.98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67</v>
      </c>
      <c r="B36" s="38" t="s">
        <v>14</v>
      </c>
      <c r="C36" s="51">
        <v>15.25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v>0.33300000000000002</v>
      </c>
      <c r="H36" s="44">
        <v>309235.98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68</v>
      </c>
      <c r="B37" s="38" t="s">
        <v>14</v>
      </c>
      <c r="C37" s="51">
        <v>22.14</v>
      </c>
      <c r="D37" s="38">
        <v>13385</v>
      </c>
      <c r="E37" s="38">
        <v>13967</v>
      </c>
      <c r="F37" s="37">
        <f>Table132[[#This Row],[New position]]-Table132[[#This Row],[Old position]]</f>
        <v>582</v>
      </c>
      <c r="G37" s="38">
        <v>0.33300000000000002</v>
      </c>
      <c r="H37" s="44">
        <v>309235.98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25</v>
      </c>
      <c r="B38" s="38" t="s">
        <v>14</v>
      </c>
      <c r="C38" s="51">
        <v>96.85</v>
      </c>
      <c r="D38" s="38">
        <v>4601</v>
      </c>
      <c r="E38" s="38">
        <v>4601</v>
      </c>
      <c r="F38" s="37">
        <f>Table132[[#This Row],[New position]]-Table132[[#This Row],[Old position]]</f>
        <v>0</v>
      </c>
      <c r="G38" s="38">
        <v>0.5</v>
      </c>
      <c r="H38" s="44">
        <f>Table132[[#This Row],[New position]]*Table132[[#This Row],[Last_Price]]</f>
        <v>445606.85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26</v>
      </c>
      <c r="B39" s="38" t="s">
        <v>14</v>
      </c>
      <c r="C39" s="51">
        <v>49.49</v>
      </c>
      <c r="D39" s="38">
        <v>8987</v>
      </c>
      <c r="E39" s="38">
        <v>8987</v>
      </c>
      <c r="F39" s="37">
        <f>Table132[[#This Row],[New position]]-Table132[[#This Row],[Old position]]</f>
        <v>0</v>
      </c>
      <c r="G39" s="38">
        <v>0.5</v>
      </c>
      <c r="H39" s="44">
        <f>Table132[[#This Row],[New position]]*Table132[[#This Row],[Last_Price]]</f>
        <v>444766.63</v>
      </c>
      <c r="I39" s="30"/>
      <c r="L39"/>
      <c r="M39"/>
      <c r="N39"/>
      <c r="O39"/>
      <c r="P39"/>
      <c r="Q39"/>
      <c r="R39"/>
    </row>
    <row r="40" spans="1:18" x14ac:dyDescent="0.25">
      <c r="A40" s="38" t="s">
        <v>27</v>
      </c>
      <c r="B40" s="38" t="s">
        <v>14</v>
      </c>
      <c r="C40" s="51">
        <v>72.400000000000006</v>
      </c>
      <c r="D40" s="38">
        <v>6143</v>
      </c>
      <c r="E40" s="38">
        <v>6143</v>
      </c>
      <c r="F40" s="37">
        <f>Table132[[#This Row],[New position]]-Table132[[#This Row],[Old position]]</f>
        <v>0</v>
      </c>
      <c r="G40" s="38">
        <v>0.5</v>
      </c>
      <c r="H40" s="44">
        <f>Table132[[#This Row],[New position]]*Table132[[#This Row],[Last_Price]]</f>
        <v>444753.2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29</v>
      </c>
      <c r="B41" s="38" t="s">
        <v>14</v>
      </c>
      <c r="C41" s="51">
        <v>15.7</v>
      </c>
      <c r="D41" s="38">
        <v>28395</v>
      </c>
      <c r="E41" s="38">
        <v>28395</v>
      </c>
      <c r="F41" s="37">
        <f>Table132[[#This Row],[New position]]-Table132[[#This Row],[Old position]]</f>
        <v>0</v>
      </c>
      <c r="G41" s="38">
        <v>0.5</v>
      </c>
      <c r="H41" s="44">
        <f>Table132[[#This Row],[New position]]*Table132[[#This Row],[Last_Price]]</f>
        <v>445801.5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34</v>
      </c>
      <c r="B42" s="38" t="s">
        <v>15</v>
      </c>
      <c r="C42" s="51">
        <v>103890</v>
      </c>
      <c r="D42" s="38">
        <v>4</v>
      </c>
      <c r="E42" s="38">
        <v>4</v>
      </c>
      <c r="F42" s="37">
        <f>Table132[[#This Row],[New position]]-Table132[[#This Row],[Old position]]</f>
        <v>0</v>
      </c>
      <c r="G42" s="38">
        <v>0.5</v>
      </c>
      <c r="H42" s="44">
        <f>Table132[[#This Row],[New position]]*Table132[[#This Row],[Last_Price]]</f>
        <v>415560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37</v>
      </c>
      <c r="B43" s="38" t="s">
        <v>15</v>
      </c>
      <c r="C43" s="51">
        <v>104915</v>
      </c>
      <c r="D43" s="38">
        <v>4</v>
      </c>
      <c r="E43" s="38">
        <v>4</v>
      </c>
      <c r="F43" s="37">
        <f>Table132[[#This Row],[New position]]-Table132[[#This Row],[Old position]]</f>
        <v>0</v>
      </c>
      <c r="G43" s="38">
        <v>0.5</v>
      </c>
      <c r="H43" s="44">
        <f>Table132[[#This Row],[New position]]*Table132[[#This Row],[Last_Price]]</f>
        <v>419660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38</v>
      </c>
      <c r="B44" s="38" t="s">
        <v>15</v>
      </c>
      <c r="C44" s="51">
        <v>115560</v>
      </c>
      <c r="D44" s="38">
        <v>4</v>
      </c>
      <c r="E44" s="38">
        <v>4</v>
      </c>
      <c r="F44" s="37">
        <f>Table132[[#This Row],[New position]]-Table132[[#This Row],[Old position]]</f>
        <v>0</v>
      </c>
      <c r="G44" s="38">
        <v>0.5</v>
      </c>
      <c r="H44" s="44">
        <f>Table132[[#This Row],[New position]]*Table132[[#This Row],[Last_Price]]</f>
        <v>462240</v>
      </c>
      <c r="I44" s="31"/>
      <c r="L44" s="58"/>
      <c r="M44"/>
      <c r="N44"/>
      <c r="O44"/>
      <c r="P44"/>
      <c r="Q44"/>
      <c r="R44"/>
    </row>
    <row r="45" spans="1:18" x14ac:dyDescent="0.25">
      <c r="A45" s="38" t="s">
        <v>51</v>
      </c>
      <c r="B45" s="38" t="s">
        <v>15</v>
      </c>
      <c r="C45" s="51">
        <v>92810</v>
      </c>
      <c r="D45" s="38">
        <v>5</v>
      </c>
      <c r="E45" s="38">
        <v>5</v>
      </c>
      <c r="F45" s="37">
        <f>Table132[[#This Row],[New position]]-Table132[[#This Row],[Old position]]</f>
        <v>0</v>
      </c>
      <c r="G45" s="38">
        <v>0.5</v>
      </c>
      <c r="H45" s="44">
        <f>Table132[[#This Row],[New position]]*Table132[[#This Row],[Last_Price]]</f>
        <v>464050</v>
      </c>
      <c r="I45" s="30"/>
      <c r="L45" s="58"/>
      <c r="M45"/>
      <c r="N45"/>
      <c r="O45"/>
      <c r="P45"/>
      <c r="Q45"/>
      <c r="R45"/>
    </row>
    <row r="46" spans="1:18" x14ac:dyDescent="0.25">
      <c r="A46" s="49" t="s">
        <v>64</v>
      </c>
      <c r="B46" s="49" t="s">
        <v>14</v>
      </c>
      <c r="C46" s="51">
        <v>36.83</v>
      </c>
      <c r="D46" s="57">
        <v>24710</v>
      </c>
      <c r="E46" s="38">
        <v>24710</v>
      </c>
      <c r="F46" s="37">
        <f>Table132[[#This Row],[New position]]-Table132[[#This Row],[Old position]]</f>
        <v>0</v>
      </c>
      <c r="G46" s="38">
        <v>1</v>
      </c>
      <c r="H46" s="51">
        <v>931734.21</v>
      </c>
      <c r="I46" s="31"/>
      <c r="L46"/>
      <c r="M46"/>
      <c r="N46"/>
      <c r="O46"/>
      <c r="P46"/>
      <c r="Q46"/>
      <c r="R46"/>
    </row>
    <row r="47" spans="1:18" x14ac:dyDescent="0.25">
      <c r="A47" s="49"/>
      <c r="B47" s="49"/>
      <c r="C47" s="50"/>
      <c r="D47" s="39"/>
      <c r="E47" s="40"/>
      <c r="F47" s="35"/>
      <c r="G47" s="38"/>
      <c r="H47" s="51"/>
      <c r="I47" s="31"/>
      <c r="L47"/>
      <c r="M47"/>
      <c r="N47"/>
      <c r="O47"/>
      <c r="P47"/>
      <c r="Q47"/>
      <c r="R47"/>
    </row>
    <row r="48" spans="1:18" x14ac:dyDescent="0.25">
      <c r="A48" s="49"/>
      <c r="B48" s="49"/>
      <c r="C48" s="50"/>
      <c r="D48" s="39"/>
      <c r="E48" s="40"/>
      <c r="F48" s="35"/>
      <c r="G48" s="38"/>
      <c r="H48" s="51"/>
      <c r="I48" s="31"/>
      <c r="L48"/>
      <c r="M48"/>
      <c r="N48"/>
      <c r="O48"/>
      <c r="P48"/>
      <c r="Q48"/>
      <c r="R48"/>
    </row>
    <row r="49" spans="1:18" x14ac:dyDescent="0.25">
      <c r="A49" s="49"/>
      <c r="B49" s="49"/>
      <c r="C49" s="50"/>
      <c r="D49" s="39"/>
      <c r="E49" s="40"/>
      <c r="F49" s="35"/>
      <c r="G49" s="38"/>
      <c r="H49" s="51"/>
      <c r="I49" s="31"/>
      <c r="L49"/>
      <c r="M49"/>
      <c r="N49"/>
      <c r="O49"/>
      <c r="P49"/>
      <c r="Q49"/>
      <c r="R49"/>
    </row>
    <row r="50" spans="1:18" x14ac:dyDescent="0.25">
      <c r="A50" s="49"/>
      <c r="B50" s="49"/>
      <c r="C50" s="50"/>
      <c r="D50" s="39"/>
      <c r="E50" s="40"/>
      <c r="F50" s="35"/>
      <c r="G50" s="38"/>
      <c r="H50" s="51"/>
      <c r="I50" s="55"/>
      <c r="L50"/>
      <c r="M50"/>
      <c r="N50"/>
      <c r="O50"/>
      <c r="P50"/>
      <c r="Q50"/>
      <c r="R50"/>
    </row>
    <row r="51" spans="1:18" ht="45" x14ac:dyDescent="0.25">
      <c r="A51" s="49" t="s">
        <v>65</v>
      </c>
      <c r="B51" s="49"/>
      <c r="C51" s="50"/>
      <c r="D51" s="39"/>
      <c r="E51" s="40"/>
      <c r="F51" s="35"/>
      <c r="G51" s="38">
        <f xml:space="preserve"> (C13+G59*G52)/C9</f>
        <v>2.7165829999999995</v>
      </c>
      <c r="H51" s="51"/>
      <c r="I51" s="55"/>
      <c r="L51"/>
      <c r="M51"/>
      <c r="N51"/>
      <c r="O51"/>
      <c r="P51"/>
      <c r="Q51"/>
      <c r="R51"/>
    </row>
    <row r="52" spans="1:18" ht="30" x14ac:dyDescent="0.25">
      <c r="A52" s="49" t="s">
        <v>57</v>
      </c>
      <c r="B52" s="49"/>
      <c r="C52" s="50"/>
      <c r="D52" s="39"/>
      <c r="E52" s="40"/>
      <c r="F52" s="35"/>
      <c r="G52" s="38">
        <v>2.716583</v>
      </c>
      <c r="H52" s="51"/>
      <c r="I52" s="55"/>
      <c r="L52"/>
      <c r="M52"/>
      <c r="N52"/>
      <c r="O52"/>
      <c r="P52"/>
      <c r="Q52"/>
      <c r="R52"/>
    </row>
    <row r="53" spans="1:18" x14ac:dyDescent="0.25">
      <c r="A53" s="38" t="s">
        <v>42</v>
      </c>
      <c r="B53" s="38"/>
      <c r="C53" s="38"/>
      <c r="D53" s="38"/>
      <c r="E53" s="28"/>
      <c r="F53" s="52" t="s">
        <v>42</v>
      </c>
      <c r="G53" s="59">
        <f>SUM(H16:H37)/(G52*C9)</f>
        <v>0.74836696312450701</v>
      </c>
      <c r="H53" s="38"/>
      <c r="I53" s="31"/>
      <c r="L53"/>
      <c r="M53"/>
      <c r="N53"/>
      <c r="O53"/>
      <c r="P53"/>
      <c r="Q53"/>
      <c r="R53"/>
    </row>
    <row r="54" spans="1:18" x14ac:dyDescent="0.25">
      <c r="A54" s="38" t="s">
        <v>43</v>
      </c>
      <c r="B54" s="49"/>
      <c r="C54" s="50"/>
      <c r="D54" s="39"/>
      <c r="E54" s="40"/>
      <c r="F54" s="52" t="s">
        <v>43</v>
      </c>
      <c r="G54" s="59">
        <f>SUM(H38:H45)/(G52*C9)</f>
        <v>3.8184838558454677E-2</v>
      </c>
      <c r="H54" s="51"/>
      <c r="I54" s="31"/>
      <c r="L54"/>
      <c r="M54"/>
      <c r="N54"/>
      <c r="O54"/>
      <c r="P54"/>
      <c r="Q54"/>
      <c r="R54"/>
    </row>
    <row r="55" spans="1:18" x14ac:dyDescent="0.25">
      <c r="A55" s="49" t="s">
        <v>45</v>
      </c>
      <c r="B55" s="38"/>
      <c r="C55" s="38"/>
      <c r="D55" s="38"/>
      <c r="E55" s="28"/>
      <c r="F55" s="53" t="s">
        <v>45</v>
      </c>
      <c r="G55" s="59">
        <f>H46/(G52*C12)</f>
        <v>1.0043399088545084E-2</v>
      </c>
      <c r="H55" s="38"/>
      <c r="I55" s="32"/>
      <c r="L55"/>
      <c r="M55"/>
      <c r="N55"/>
      <c r="O55"/>
      <c r="P55"/>
      <c r="Q55"/>
      <c r="R55"/>
    </row>
    <row r="56" spans="1:18" x14ac:dyDescent="0.25">
      <c r="A56" s="38" t="s">
        <v>44</v>
      </c>
      <c r="B56" s="38"/>
      <c r="C56" s="38"/>
      <c r="D56" s="38"/>
      <c r="E56" s="28"/>
      <c r="F56" s="52" t="s">
        <v>44</v>
      </c>
      <c r="G56" s="59">
        <f>0/(G52*C9)</f>
        <v>0</v>
      </c>
      <c r="H56" s="38"/>
      <c r="I56" s="33"/>
      <c r="L56"/>
      <c r="M56"/>
      <c r="N56"/>
      <c r="O56"/>
      <c r="P56"/>
      <c r="Q56"/>
      <c r="R56"/>
    </row>
    <row r="57" spans="1:18" x14ac:dyDescent="0.25">
      <c r="A57" s="38" t="s">
        <v>24</v>
      </c>
      <c r="B57" s="38"/>
      <c r="C57" s="38"/>
      <c r="D57" s="38"/>
      <c r="E57" s="28"/>
      <c r="F57" s="52" t="s">
        <v>24</v>
      </c>
      <c r="G57" s="59">
        <f>1-SUM(G53:G56)</f>
        <v>0.20340479922849319</v>
      </c>
      <c r="H57" s="38"/>
      <c r="I57" s="31"/>
      <c r="L57"/>
      <c r="M57"/>
      <c r="N57"/>
      <c r="O57"/>
      <c r="P57"/>
      <c r="Q57"/>
      <c r="R57"/>
    </row>
    <row r="58" spans="1:18" x14ac:dyDescent="0.25">
      <c r="A58" s="49" t="s">
        <v>11</v>
      </c>
      <c r="B58" s="49"/>
      <c r="C58" s="50"/>
      <c r="D58" s="39"/>
      <c r="E58" s="40"/>
      <c r="F58" s="38"/>
      <c r="G58" s="59">
        <f>SUM(H33)/(G52*C9)</f>
        <v>0.66528931936230029</v>
      </c>
      <c r="H58" s="51"/>
      <c r="I58" s="31"/>
      <c r="L58"/>
      <c r="M58"/>
      <c r="N58"/>
      <c r="O58"/>
      <c r="P58"/>
      <c r="Q58"/>
      <c r="R58"/>
    </row>
    <row r="59" spans="1:18" x14ac:dyDescent="0.25">
      <c r="A59" s="28" t="s">
        <v>49</v>
      </c>
      <c r="B59" s="28"/>
      <c r="C59" s="36"/>
      <c r="D59" s="28"/>
      <c r="E59" s="28"/>
      <c r="F59" s="35"/>
      <c r="G59" s="38">
        <f>C12*G57</f>
        <v>6946236.060360386</v>
      </c>
      <c r="H59" s="44"/>
      <c r="I59" s="34"/>
      <c r="L59"/>
      <c r="M59"/>
      <c r="N59"/>
      <c r="O59"/>
      <c r="P59"/>
      <c r="Q59"/>
      <c r="R59"/>
    </row>
    <row r="60" spans="1:18" x14ac:dyDescent="0.25">
      <c r="A60" s="28"/>
      <c r="B60" s="28"/>
      <c r="C60" s="36"/>
      <c r="D60" s="28"/>
      <c r="E60" s="28"/>
      <c r="F60" s="28"/>
      <c r="G60" s="38"/>
      <c r="H60" s="44"/>
      <c r="I60" s="31"/>
      <c r="L60"/>
      <c r="M60"/>
      <c r="N60"/>
      <c r="O60"/>
      <c r="P60"/>
      <c r="Q60"/>
      <c r="R60"/>
    </row>
    <row r="61" spans="1:18" x14ac:dyDescent="0.25">
      <c r="A61" s="28"/>
      <c r="B61" s="28"/>
      <c r="C61" s="36"/>
      <c r="D61" s="28"/>
      <c r="E61" s="28"/>
      <c r="F61" s="35"/>
      <c r="G61" s="38"/>
      <c r="H61" s="44"/>
      <c r="I61" s="31"/>
      <c r="L61"/>
      <c r="M61"/>
      <c r="N61"/>
      <c r="O61"/>
      <c r="P61"/>
      <c r="Q61"/>
      <c r="R61"/>
    </row>
    <row r="62" spans="1:18" x14ac:dyDescent="0.25">
      <c r="A62" s="28"/>
      <c r="B62" s="28"/>
      <c r="C62" s="36"/>
      <c r="D62" s="28"/>
      <c r="E62" s="28"/>
      <c r="F62" s="35"/>
      <c r="G62" s="38"/>
      <c r="H62" s="44"/>
      <c r="I62" s="31"/>
      <c r="L62"/>
      <c r="M62"/>
      <c r="N62"/>
      <c r="O62"/>
      <c r="P62"/>
      <c r="Q62"/>
      <c r="R62"/>
    </row>
    <row r="63" spans="1:18" x14ac:dyDescent="0.25">
      <c r="A63" s="22"/>
      <c r="B63" s="5" t="s">
        <v>22</v>
      </c>
      <c r="D63" s="1"/>
      <c r="E63" s="5" t="s">
        <v>21</v>
      </c>
      <c r="F63" s="1"/>
      <c r="G63" s="5"/>
      <c r="H63" s="45" t="s">
        <v>2</v>
      </c>
      <c r="I63" s="4"/>
      <c r="L63"/>
      <c r="M63"/>
      <c r="N63"/>
      <c r="O63"/>
      <c r="P63"/>
      <c r="Q63"/>
      <c r="R63"/>
    </row>
    <row r="64" spans="1:18" x14ac:dyDescent="0.25">
      <c r="B64" s="5" t="s">
        <v>39</v>
      </c>
      <c r="D64" s="1"/>
      <c r="E64" s="5" t="s">
        <v>39</v>
      </c>
      <c r="F64" s="1"/>
      <c r="G64" s="5"/>
      <c r="H64" s="45" t="s">
        <v>3</v>
      </c>
      <c r="L64"/>
      <c r="M64"/>
      <c r="N64"/>
      <c r="O64"/>
      <c r="P64"/>
      <c r="Q64"/>
      <c r="R64"/>
    </row>
    <row r="65" spans="2:18" x14ac:dyDescent="0.25">
      <c r="B65" s="3"/>
      <c r="C65"/>
      <c r="D65" s="1"/>
      <c r="E65" s="3"/>
      <c r="F65" s="21"/>
      <c r="G65" s="3"/>
      <c r="H65" s="46"/>
      <c r="L65"/>
      <c r="M65"/>
      <c r="N65"/>
      <c r="O65"/>
      <c r="P65"/>
      <c r="Q65"/>
      <c r="R65"/>
    </row>
    <row r="66" spans="2:18" x14ac:dyDescent="0.25">
      <c r="C66"/>
      <c r="L66"/>
      <c r="M66"/>
      <c r="N66"/>
      <c r="O66"/>
      <c r="P66"/>
      <c r="Q66"/>
      <c r="R66"/>
    </row>
    <row r="67" spans="2:18" x14ac:dyDescent="0.25">
      <c r="L67"/>
      <c r="M67"/>
      <c r="N67"/>
      <c r="O67"/>
      <c r="P67"/>
      <c r="Q67"/>
      <c r="R67"/>
    </row>
    <row r="68" spans="2:18" x14ac:dyDescent="0.25">
      <c r="L68"/>
      <c r="M68"/>
      <c r="N68"/>
      <c r="O68"/>
      <c r="P68"/>
      <c r="Q68"/>
      <c r="R68"/>
    </row>
    <row r="69" spans="2:18" x14ac:dyDescent="0.25">
      <c r="L69"/>
      <c r="M69"/>
      <c r="N69"/>
      <c r="O69"/>
      <c r="P69"/>
      <c r="Q69"/>
      <c r="R69"/>
    </row>
    <row r="70" spans="2:18" x14ac:dyDescent="0.25">
      <c r="L70"/>
      <c r="M70"/>
      <c r="N70"/>
      <c r="O70"/>
      <c r="P70"/>
      <c r="Q70"/>
      <c r="R70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2023-10-18T11:43:13Z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