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0-2023/"/>
    </mc:Choice>
  </mc:AlternateContent>
  <xr:revisionPtr revIDLastSave="1090" documentId="14_{A48F4B07-3EF3-43E5-91B2-4CA340E6013A}" xr6:coauthVersionLast="47" xr6:coauthVersionMax="47" xr10:uidLastSave="{C0648BF4-D13D-4C09-90A3-BC19B835D51E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3" i="3" l="1"/>
  <c r="F47" i="3"/>
  <c r="C3" i="3"/>
  <c r="G54" i="3"/>
  <c r="G45" i="3"/>
  <c r="G43" i="3"/>
  <c r="H45" i="3"/>
  <c r="H54" i="3"/>
  <c r="C6" i="3" s="1"/>
  <c r="H43" i="3"/>
  <c r="G61" i="3" s="1"/>
  <c r="G42" i="3"/>
  <c r="G41" i="3"/>
  <c r="G40" i="3"/>
  <c r="G39" i="3"/>
  <c r="H40" i="3"/>
  <c r="H41" i="3"/>
  <c r="H42" i="3"/>
  <c r="G26" i="3"/>
  <c r="H39" i="3"/>
  <c r="C4" i="3"/>
  <c r="G28" i="3"/>
  <c r="G27" i="3"/>
  <c r="G25" i="3"/>
  <c r="G24" i="3"/>
  <c r="G23" i="3"/>
  <c r="G22" i="3"/>
  <c r="G21" i="3"/>
  <c r="G20" i="3"/>
  <c r="G19" i="3"/>
  <c r="G17" i="3"/>
  <c r="G18" i="3"/>
  <c r="G16" i="3"/>
  <c r="H17" i="3"/>
  <c r="H18" i="3"/>
  <c r="H19" i="3"/>
  <c r="H20" i="3"/>
  <c r="H21" i="3"/>
  <c r="H22" i="3"/>
  <c r="H23" i="3"/>
  <c r="H24" i="3"/>
  <c r="H25" i="3"/>
  <c r="H26" i="3"/>
  <c r="H27" i="3"/>
  <c r="H16" i="3"/>
  <c r="F50" i="3"/>
  <c r="F51" i="3"/>
  <c r="F52" i="3"/>
  <c r="F54" i="3"/>
  <c r="G66" i="3"/>
  <c r="F35" i="3"/>
  <c r="F36" i="3"/>
  <c r="G62" i="3" l="1"/>
  <c r="C5" i="3"/>
  <c r="G63" i="3"/>
  <c r="C13" i="3" a="1"/>
  <c r="F46" i="3"/>
  <c r="C13" i="3" l="1"/>
  <c r="C8" i="3" s="1"/>
  <c r="G64" i="3"/>
  <c r="F38" i="3" l="1"/>
  <c r="F16" i="3" l="1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7" i="3"/>
  <c r="F39" i="3"/>
  <c r="F40" i="3"/>
  <c r="F41" i="3"/>
  <c r="F42" i="3"/>
  <c r="F43" i="3"/>
  <c r="F44" i="3"/>
  <c r="F45" i="3"/>
  <c r="C12" i="3"/>
  <c r="G65" i="3" l="1"/>
  <c r="G67" i="3" s="1"/>
  <c r="G59" i="3" s="1"/>
  <c r="C2" i="3"/>
  <c r="C7" i="3"/>
</calcChain>
</file>

<file path=xl/sharedStrings.xml><?xml version="1.0" encoding="utf-8"?>
<sst xmlns="http://schemas.openxmlformats.org/spreadsheetml/2006/main" count="122" uniqueCount="78">
  <si>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</si>
  <si>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</si>
  <si>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</si>
  <si>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</si>
  <si>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</si>
  <si>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</si>
  <si>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</si>
  <si>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</si>
  <si>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</si>
  <si>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</si>
  <si>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</si>
  <si>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</si>
  <si>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</si>
  <si>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</si>
  <si>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</si>
  <si>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</si>
  <si>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</si>
  <si>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</si>
  <si>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</si>
  <si>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</si>
  <si>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</si>
  <si>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</si>
  <si>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</si>
  <si>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</si>
  <si>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</si>
  <si>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STIP</t>
  </si>
  <si>
    <t>IGSB</t>
  </si>
  <si>
    <t>HYG</t>
  </si>
  <si>
    <t>GE</t>
  </si>
  <si>
    <t>FPE</t>
  </si>
  <si>
    <t>PANW</t>
  </si>
  <si>
    <t>VRSK</t>
  </si>
  <si>
    <t>LLY</t>
  </si>
  <si>
    <t>BR</t>
  </si>
  <si>
    <t>BTS</t>
  </si>
  <si>
    <t>BRO</t>
  </si>
  <si>
    <t>CEG</t>
  </si>
  <si>
    <t>GBS</t>
  </si>
  <si>
    <t>GBM</t>
  </si>
  <si>
    <t>Charles Yan</t>
  </si>
  <si>
    <t>Leverage for Bonds</t>
  </si>
  <si>
    <t>Leverage for Commodities</t>
  </si>
  <si>
    <t>Equities</t>
  </si>
  <si>
    <t>Bonds</t>
  </si>
  <si>
    <t>Commodities</t>
  </si>
  <si>
    <t>Precious</t>
  </si>
  <si>
    <t>Leverage for Precious</t>
  </si>
  <si>
    <t>Leverage for Equities and Commodities (No Precious)</t>
  </si>
  <si>
    <t>BRK B</t>
  </si>
  <si>
    <t>Cash Amount</t>
  </si>
  <si>
    <t>BKNG</t>
  </si>
  <si>
    <t>R</t>
  </si>
  <si>
    <t>MCK</t>
  </si>
  <si>
    <t>Leverage for QQQ</t>
  </si>
  <si>
    <t>Leverage for Equities (incl. QQQ)</t>
  </si>
  <si>
    <t>INTC</t>
  </si>
  <si>
    <t>CMCSA</t>
  </si>
  <si>
    <t>Leverage (incl. Cash)</t>
  </si>
  <si>
    <t>CME</t>
  </si>
  <si>
    <t>STE</t>
  </si>
  <si>
    <t>VRTX</t>
  </si>
  <si>
    <t>COR</t>
  </si>
  <si>
    <t>SMH</t>
  </si>
  <si>
    <t>USL</t>
  </si>
  <si>
    <t>IAU</t>
  </si>
  <si>
    <t>Actual Leverage (incl. Cash)</t>
  </si>
  <si>
    <t>URNM</t>
  </si>
  <si>
    <t>CANE</t>
  </si>
  <si>
    <t>GSG</t>
  </si>
  <si>
    <t>AAPL</t>
  </si>
  <si>
    <t>FTNT</t>
  </si>
  <si>
    <t>DLR</t>
  </si>
  <si>
    <t>EPD</t>
  </si>
  <si>
    <t>SGEN</t>
  </si>
  <si>
    <t>CMG</t>
  </si>
  <si>
    <t>VCIT</t>
  </si>
  <si>
    <t>CWB</t>
  </si>
  <si>
    <t>IB does not allow to place the order due to a signature for agreement on a regulation.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</si>
</sst>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/>
    <xf numFmtId="0" fontId="15" fillId="2" borderId="1" xfId="0" applyFont="1" applyFill="1" applyBorder="1" applyAlignment="1">
      <alignment vertical="center" wrapText="1"/>
    </xf>
    <xf numFmtId="10" fontId="2" fillId="0" borderId="0" xfId="0" applyNumberFormat="1" applyFont="1"/>
    <xf numFmtId="0" fontId="16" fillId="2" borderId="1" xfId="0" applyFont="1" applyFill="1" applyBorder="1"/>
    <xf numFmtId="0" fontId="16" fillId="2" borderId="6" xfId="0" applyFont="1" applyFill="1" applyBorder="1"/>
    <xf numFmtId="0" fontId="0" fillId="2" borderId="1" xfId="1" applyNumberFormat="1" applyFont="1" applyFill="1" applyBorder="1" applyAlignment="1">
      <alignment vertical="center" wrapText="1"/>
    </xf>
    <xf numFmtId="2" fontId="0" fillId="0" borderId="0" xfId="0" applyNumberFormat="1"/>
    <xf numFmtId="2" fontId="0" fillId="2" borderId="1" xfId="0" applyNumberFormat="1" applyFill="1" applyBorder="1"/>
    <xf numFmtId="0" fontId="2" fillId="2" borderId="6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ont="1" applyFill="1" applyBorder="1" applyAlignment="1">
      <alignment vertical="center" wrapText="1"/>
    </xf>
    <xf numFmtId="0" fontId="17" fillId="2" borderId="1" xfId="0" applyFont="1" applyFill="1" applyBorder="1"/>
    <xf numFmtId="0" fontId="0" fillId="2" borderId="1" xfId="0" applyNumberForma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Sheet1!$F$61:$F$65</c:f>
              <c:strCache>
                <c:ptCount val="5"/>
                <c:pt idx="0">
                  <c:v>Equities</c:v>
                </c:pt>
                <c:pt idx="1">
                  <c:v>Bonds</c:v>
                </c:pt>
                <c:pt idx="2">
                  <c:v>Precious</c:v>
                </c:pt>
                <c:pt idx="3">
                  <c:v>Commodities</c:v>
                </c:pt>
                <c:pt idx="4">
                  <c:v>Cash</c:v>
                </c:pt>
              </c:strCache>
            </c:strRef>
          </c:cat>
          <c:val>
            <c:numRef>
              <c:f>Sheet1!$G$61:$G$65</c:f>
              <c:numCache>
                <c:formatCode>0.00</c:formatCode>
                <c:ptCount val="5"/>
                <c:pt idx="0">
                  <c:v>0.80990929093873376</c:v>
                </c:pt>
                <c:pt idx="1">
                  <c:v>4.0262002099702023E-2</c:v>
                </c:pt>
                <c:pt idx="2">
                  <c:v>1.0995927576568192E-2</c:v>
                </c:pt>
                <c:pt idx="3">
                  <c:v>0</c:v>
                </c:pt>
                <c:pt idx="4">
                  <c:v>0.13883277938499605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333580</xdr:colOff>
      <xdr:row>4</xdr:row>
      <xdr:rowOff>84324</xdr:rowOff>
    </xdr:from>
    <xdr:to>
      <xdr:col>8</xdr:col>
      <xdr:colOff>2072929</xdr:colOff>
      <xdr:row>7</xdr:row>
      <xdr:rowOff>204270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8558" y="630976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111816</xdr:colOff>
      <xdr:row>0</xdr:row>
      <xdr:rowOff>152402</xdr:rowOff>
    </xdr:from>
    <xdr:to>
      <xdr:col>6</xdr:col>
      <xdr:colOff>538369</xdr:colOff>
      <xdr:row>12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5:I70" totalsRowShown="0" headerRowDxfId="13" dataDxfId="11" headerRowBorderDxfId="12" tableBorderDxfId="10" totalsRowBorderDxfId="9">
  <autoFilter ref="A15:I70" xr:uid="{00000000-0009-0000-0100-000001000000}"/>
  <sortState xmlns:xlrd2="http://schemas.microsoft.com/office/spreadsheetml/2017/richdata2" ref="A16:I69">
    <sortCondition ref="A15:A69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78"/>
  <sheetViews>
    <sheetView tabSelected="1" topLeftCell="A22" zoomScale="115" zoomScaleNormal="115" workbookViewId="0">
      <selection activeCell="H31" sqref="H3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7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18" s="13" customFormat="1" ht="12.75" x14ac:dyDescent="0.25">
      <c r="A1" s="61" t="s">
        <v>0</v>
      </c>
      <c r="B1" s="61"/>
      <c r="C1" s="12">
        <v>45219</v>
      </c>
      <c r="E1" s="14"/>
      <c r="F1" s="14"/>
      <c r="G1" s="48"/>
      <c r="H1" s="14"/>
    </row>
    <row r="2" spans="1:18" s="13" customFormat="1" x14ac:dyDescent="0.25">
      <c r="A2" s="61" t="s">
        <v>10</v>
      </c>
      <c r="B2" s="61"/>
      <c r="C2" s="15">
        <f>C13/C12</f>
        <v>2.2143330530428895</v>
      </c>
      <c r="D2"/>
      <c r="E2" s="25"/>
      <c r="F2" s="17"/>
      <c r="G2" s="17"/>
      <c r="H2" s="16"/>
    </row>
    <row r="3" spans="1:18" s="13" customFormat="1" x14ac:dyDescent="0.25">
      <c r="A3" s="63" t="s">
        <v>54</v>
      </c>
      <c r="B3" s="64"/>
      <c r="C3" s="15">
        <f>SUM(H16:H39)/C12</f>
        <v>1.9958888694189152</v>
      </c>
      <c r="D3"/>
      <c r="E3" s="25"/>
      <c r="F3" s="17"/>
      <c r="G3" s="17"/>
      <c r="H3" s="16"/>
    </row>
    <row r="4" spans="1:18" s="13" customFormat="1" x14ac:dyDescent="0.25">
      <c r="A4" s="63" t="s">
        <v>53</v>
      </c>
      <c r="B4" s="64"/>
      <c r="C4" s="15">
        <f>H39/C12</f>
        <v>1.8415746234159482</v>
      </c>
      <c r="D4"/>
      <c r="E4" s="25"/>
      <c r="F4" s="17"/>
      <c r="G4" s="17"/>
      <c r="H4" s="16"/>
    </row>
    <row r="5" spans="1:18" s="13" customFormat="1" x14ac:dyDescent="0.25">
      <c r="A5" s="63" t="s">
        <v>40</v>
      </c>
      <c r="B5" s="64"/>
      <c r="C5" s="15">
        <f>SUM(H44:H53)/C12</f>
        <v>0.1035263301909974</v>
      </c>
      <c r="D5"/>
      <c r="E5" s="25"/>
      <c r="F5" s="17"/>
      <c r="G5" s="17"/>
      <c r="H5" s="16"/>
    </row>
    <row r="6" spans="1:18" s="13" customFormat="1" x14ac:dyDescent="0.25">
      <c r="A6" s="63" t="s">
        <v>46</v>
      </c>
      <c r="B6" s="64"/>
      <c r="C6" s="15">
        <f>H54/C12</f>
        <v>2.8274004512471019E-2</v>
      </c>
      <c r="D6"/>
      <c r="E6" s="25"/>
      <c r="F6" s="17"/>
      <c r="G6" s="17"/>
      <c r="H6" s="16"/>
    </row>
    <row r="7" spans="1:18" s="13" customFormat="1" x14ac:dyDescent="0.25">
      <c r="A7" s="63" t="s">
        <v>41</v>
      </c>
      <c r="B7" s="64"/>
      <c r="C7" s="15">
        <f>0/C12</f>
        <v>0</v>
      </c>
      <c r="D7"/>
      <c r="E7" s="25"/>
      <c r="F7" s="17"/>
      <c r="G7" s="17"/>
      <c r="H7" s="16"/>
    </row>
    <row r="8" spans="1:18" s="13" customFormat="1" ht="27.75" customHeight="1" x14ac:dyDescent="0.25">
      <c r="A8" s="62" t="s">
        <v>47</v>
      </c>
      <c r="B8" s="62"/>
      <c r="C8" s="20">
        <f>(C13-SUM(H44:H54))/C12</f>
        <v>2.0825327183394213</v>
      </c>
      <c r="D8" s="24"/>
      <c r="E8" s="16"/>
      <c r="F8" s="17"/>
      <c r="G8" s="17"/>
      <c r="H8" s="16"/>
    </row>
    <row r="9" spans="1:18" s="13" customFormat="1" ht="12.75" x14ac:dyDescent="0.25">
      <c r="A9" s="61" t="s">
        <v>8</v>
      </c>
      <c r="B9" s="61"/>
      <c r="C9" s="18">
        <v>32825474</v>
      </c>
      <c r="D9" s="26"/>
      <c r="E9" s="17"/>
      <c r="F9" s="17"/>
      <c r="G9" s="17"/>
      <c r="H9" s="16"/>
    </row>
    <row r="10" spans="1:18" s="13" customFormat="1" ht="12.75" x14ac:dyDescent="0.25">
      <c r="A10" s="61" t="s">
        <v>6</v>
      </c>
      <c r="B10" s="61"/>
      <c r="C10" s="18">
        <v>0</v>
      </c>
      <c r="F10" s="17"/>
      <c r="H10" s="41"/>
    </row>
    <row r="11" spans="1:18" s="13" customFormat="1" ht="12.75" x14ac:dyDescent="0.25">
      <c r="A11" s="61" t="s">
        <v>7</v>
      </c>
      <c r="B11" s="61"/>
      <c r="C11" s="18">
        <v>0</v>
      </c>
      <c r="D11" s="23"/>
      <c r="E11" s="17"/>
      <c r="F11" s="17"/>
      <c r="G11" s="17"/>
      <c r="H11" s="16"/>
    </row>
    <row r="12" spans="1:18" s="13" customFormat="1" ht="12.75" x14ac:dyDescent="0.25">
      <c r="A12" s="61" t="s">
        <v>9</v>
      </c>
      <c r="B12" s="61"/>
      <c r="C12" s="18">
        <f>C9+C10-C11</f>
        <v>32825474</v>
      </c>
      <c r="D12" s="23"/>
      <c r="E12" s="17"/>
      <c r="F12" s="17"/>
      <c r="G12" s="17"/>
      <c r="H12" s="16"/>
    </row>
    <row r="13" spans="1:18" s="13" customFormat="1" ht="27.75" customHeight="1" x14ac:dyDescent="0.25">
      <c r="A13" s="62" t="s">
        <v>5</v>
      </c>
      <c r="B13" s="62"/>
      <c r="C13" s="11">
        <f t="array" ref="C13">SUM(ABS(Table132[Target allocation ($)]))</f>
        <v>72686532.059999987</v>
      </c>
      <c r="D13" s="23" t="s">
        <v>23</v>
      </c>
      <c r="E13" s="17"/>
      <c r="F13" s="17"/>
      <c r="G13" s="17"/>
      <c r="H13" s="16"/>
      <c r="J13" s="19"/>
    </row>
    <row r="14" spans="1:18" s="8" customFormat="1" ht="2.25" customHeight="1" x14ac:dyDescent="0.2">
      <c r="A14" s="6"/>
      <c r="B14" s="6"/>
      <c r="C14" s="4"/>
      <c r="D14" s="1"/>
      <c r="E14" s="1"/>
      <c r="F14" s="1"/>
      <c r="G14" s="1"/>
      <c r="H14" s="42"/>
      <c r="I14" s="1"/>
    </row>
    <row r="15" spans="1:18" s="2" customFormat="1" ht="12.75" x14ac:dyDescent="0.25">
      <c r="A15" s="7" t="s">
        <v>12</v>
      </c>
      <c r="B15" s="7" t="s">
        <v>13</v>
      </c>
      <c r="C15" s="7" t="s">
        <v>16</v>
      </c>
      <c r="D15" s="7" t="s">
        <v>17</v>
      </c>
      <c r="E15" s="7" t="s">
        <v>18</v>
      </c>
      <c r="F15" s="9" t="s">
        <v>4</v>
      </c>
      <c r="G15" s="7" t="s">
        <v>19</v>
      </c>
      <c r="H15" s="43" t="s">
        <v>20</v>
      </c>
      <c r="I15" s="10" t="s">
        <v>1</v>
      </c>
    </row>
    <row r="16" spans="1:18" s="2" customFormat="1" x14ac:dyDescent="0.25">
      <c r="A16" s="38" t="s">
        <v>32</v>
      </c>
      <c r="B16" s="38" t="s">
        <v>14</v>
      </c>
      <c r="C16" s="51">
        <v>590</v>
      </c>
      <c r="D16" s="38">
        <v>482</v>
      </c>
      <c r="E16" s="38">
        <v>482</v>
      </c>
      <c r="F16" s="37">
        <f>Table132[[#This Row],[New position]]-Table132[[#This Row],[Old position]]</f>
        <v>0</v>
      </c>
      <c r="G16" s="67">
        <f>ROUND(Table132[[#This Row],[Target allocation ($)]]/(G60*C9)*100, 3)</f>
        <v>0.33700000000000002</v>
      </c>
      <c r="H16" s="44">
        <f>Table132[[#This Row],[New position]]*Table132[[#This Row],[Last_Price]]</f>
        <v>284380</v>
      </c>
      <c r="I16" s="31"/>
      <c r="J16"/>
      <c r="L16"/>
      <c r="M16"/>
      <c r="N16"/>
      <c r="O16"/>
      <c r="P16"/>
      <c r="Q16"/>
      <c r="R16"/>
    </row>
    <row r="17" spans="1:18" x14ac:dyDescent="0.25">
      <c r="A17" s="38" t="s">
        <v>36</v>
      </c>
      <c r="B17" s="38" t="s">
        <v>14</v>
      </c>
      <c r="C17" s="51">
        <v>113.99</v>
      </c>
      <c r="D17" s="38">
        <v>2536</v>
      </c>
      <c r="E17" s="38">
        <v>2536</v>
      </c>
      <c r="F17" s="37">
        <f>Table132[[#This Row],[New position]]-Table132[[#This Row],[Old position]]</f>
        <v>0</v>
      </c>
      <c r="G17" s="38">
        <f>ROUND(Table132[[#This Row],[Target allocation ($)]]/(G60*C9)*100, 3)</f>
        <v>0.34200000000000003</v>
      </c>
      <c r="H17" s="44">
        <f>Table132[[#This Row],[New position]]*Table132[[#This Row],[Last_Price]]</f>
        <v>289078.64</v>
      </c>
      <c r="I17" s="31"/>
      <c r="K17" s="54"/>
      <c r="L17"/>
      <c r="M17"/>
      <c r="N17"/>
      <c r="O17"/>
      <c r="P17"/>
      <c r="Q17"/>
      <c r="R17"/>
    </row>
    <row r="18" spans="1:18" x14ac:dyDescent="0.25">
      <c r="A18" s="38" t="s">
        <v>28</v>
      </c>
      <c r="B18" s="38" t="s">
        <v>14</v>
      </c>
      <c r="C18" s="51">
        <v>105.71</v>
      </c>
      <c r="D18" s="38">
        <v>2577</v>
      </c>
      <c r="E18" s="38">
        <v>2577</v>
      </c>
      <c r="F18" s="37">
        <f>Table132[[#This Row],[New position]]-Table132[[#This Row],[Old position]]</f>
        <v>0</v>
      </c>
      <c r="G18" s="38">
        <f>ROUND(Table132[[#This Row],[Target allocation ($)]]/(G60*C9)*100, 3)</f>
        <v>0.32300000000000001</v>
      </c>
      <c r="H18" s="44">
        <f>Table132[[#This Row],[New position]]*Table132[[#This Row],[Last_Price]]</f>
        <v>272414.67</v>
      </c>
      <c r="I18" s="60"/>
      <c r="L18"/>
      <c r="M18"/>
      <c r="N18"/>
      <c r="O18"/>
      <c r="P18"/>
      <c r="Q18"/>
      <c r="R18"/>
    </row>
    <row r="19" spans="1:18" x14ac:dyDescent="0.25">
      <c r="A19" s="38" t="s">
        <v>52</v>
      </c>
      <c r="B19" s="38" t="s">
        <v>14</v>
      </c>
      <c r="C19" s="51">
        <v>453.27</v>
      </c>
      <c r="D19" s="38">
        <v>641</v>
      </c>
      <c r="E19" s="38">
        <v>641</v>
      </c>
      <c r="F19" s="37">
        <f>Table132[[#This Row],[New position]]-Table132[[#This Row],[Old position]]</f>
        <v>0</v>
      </c>
      <c r="G19" s="38">
        <f>ROUND(Table132[[#This Row],[Target allocation ($)]]/(G60*C9)*100, 3)</f>
        <v>0.34399999999999997</v>
      </c>
      <c r="H19" s="44">
        <f>Table132[[#This Row],[New position]]*Table132[[#This Row],[Last_Price]]</f>
        <v>290546.07</v>
      </c>
      <c r="I19" s="31"/>
      <c r="L19"/>
      <c r="M19"/>
      <c r="N19"/>
      <c r="O19"/>
      <c r="P19"/>
      <c r="Q19"/>
      <c r="R19"/>
    </row>
    <row r="20" spans="1:18" x14ac:dyDescent="0.25">
      <c r="A20" s="38" t="s">
        <v>48</v>
      </c>
      <c r="B20" s="38" t="s">
        <v>14</v>
      </c>
      <c r="C20" s="51">
        <v>336.9</v>
      </c>
      <c r="D20" s="38">
        <v>839</v>
      </c>
      <c r="E20" s="38">
        <v>839</v>
      </c>
      <c r="F20" s="37">
        <f>Table132[[#This Row],[New position]]-Table132[[#This Row],[Old position]]</f>
        <v>0</v>
      </c>
      <c r="G20" s="38">
        <f>ROUND(Table132[[#This Row],[Target allocation ($)]]/(G60*C9)*100, 3)</f>
        <v>0.33500000000000002</v>
      </c>
      <c r="H20" s="44">
        <f>Table132[[#This Row],[New position]]*Table132[[#This Row],[Last_Price]]</f>
        <v>282659.09999999998</v>
      </c>
      <c r="I20" s="31"/>
      <c r="L20"/>
      <c r="M20"/>
      <c r="N20"/>
      <c r="O20"/>
      <c r="P20"/>
      <c r="Q20"/>
      <c r="R20"/>
    </row>
    <row r="21" spans="1:18" x14ac:dyDescent="0.25">
      <c r="A21" s="38" t="s">
        <v>30</v>
      </c>
      <c r="B21" s="38" t="s">
        <v>14</v>
      </c>
      <c r="C21" s="51">
        <v>253</v>
      </c>
      <c r="D21" s="38">
        <v>1127</v>
      </c>
      <c r="E21" s="38">
        <v>1127</v>
      </c>
      <c r="F21" s="37">
        <f>Table132[[#This Row],[New position]]-Table132[[#This Row],[Old position]]</f>
        <v>0</v>
      </c>
      <c r="G21" s="38">
        <f>ROUND(Table132[[#This Row],[Target allocation ($)]]/(G60*C9)*100, 3)</f>
        <v>0.33800000000000002</v>
      </c>
      <c r="H21" s="44">
        <f>Table132[[#This Row],[New position]]*Table132[[#This Row],[Last_Price]]</f>
        <v>285131</v>
      </c>
      <c r="I21" s="31"/>
      <c r="L21"/>
      <c r="M21"/>
      <c r="N21"/>
      <c r="O21"/>
      <c r="P21"/>
      <c r="Q21"/>
      <c r="R21"/>
    </row>
    <row r="22" spans="1:18" x14ac:dyDescent="0.25">
      <c r="A22" s="38" t="s">
        <v>55</v>
      </c>
      <c r="B22" s="38" t="s">
        <v>14</v>
      </c>
      <c r="C22" s="51">
        <v>35.590000000000003</v>
      </c>
      <c r="D22" s="38">
        <v>7929</v>
      </c>
      <c r="E22" s="38">
        <v>7929</v>
      </c>
      <c r="F22" s="37">
        <f>Table132[[#This Row],[New position]]-Table132[[#This Row],[Old position]]</f>
        <v>0</v>
      </c>
      <c r="G22" s="38">
        <f>ROUND(Table132[[#This Row],[Target allocation ($)]]/(G60*C9)*100, 3)</f>
        <v>0.33400000000000002</v>
      </c>
      <c r="H22" s="44">
        <f>Table132[[#This Row],[New position]]*Table132[[#This Row],[Last_Price]]</f>
        <v>282193.11000000004</v>
      </c>
      <c r="I22" s="31"/>
      <c r="L22"/>
      <c r="M22"/>
      <c r="N22"/>
      <c r="O22"/>
      <c r="P22"/>
      <c r="Q22"/>
      <c r="R22"/>
    </row>
    <row r="23" spans="1:18" x14ac:dyDescent="0.25">
      <c r="A23" s="38" t="s">
        <v>56</v>
      </c>
      <c r="B23" s="38" t="s">
        <v>14</v>
      </c>
      <c r="C23" s="51">
        <v>42.83</v>
      </c>
      <c r="D23" s="38">
        <v>6607</v>
      </c>
      <c r="E23" s="38">
        <v>6607</v>
      </c>
      <c r="F23" s="37">
        <f>Table132[[#This Row],[New position]]-Table132[[#This Row],[Old position]]</f>
        <v>0</v>
      </c>
      <c r="G23" s="38">
        <f>ROUND(Table132[[#This Row],[Target allocation ($)]]/(G60*C9)*100, 3)</f>
        <v>0.33500000000000002</v>
      </c>
      <c r="H23" s="44">
        <f>Table132[[#This Row],[New position]]*Table132[[#This Row],[Last_Price]]</f>
        <v>282977.81</v>
      </c>
      <c r="I23" s="30"/>
      <c r="L23"/>
      <c r="M23"/>
      <c r="N23"/>
      <c r="O23"/>
      <c r="P23"/>
      <c r="Q23"/>
      <c r="R23"/>
    </row>
    <row r="24" spans="1:18" x14ac:dyDescent="0.25">
      <c r="A24" s="38" t="s">
        <v>58</v>
      </c>
      <c r="B24" s="38" t="s">
        <v>14</v>
      </c>
      <c r="C24" s="51">
        <v>214.12</v>
      </c>
      <c r="D24" s="38">
        <v>1347</v>
      </c>
      <c r="E24" s="38">
        <v>1347</v>
      </c>
      <c r="F24" s="37">
        <f>Table132[[#This Row],[New position]]-Table132[[#This Row],[Old position]]</f>
        <v>0</v>
      </c>
      <c r="G24" s="38">
        <f>ROUND(Table132[[#This Row],[Target allocation ($)]]/(G60*C9)*100, 3)</f>
        <v>0.34200000000000003</v>
      </c>
      <c r="H24" s="44">
        <f>Table132[[#This Row],[New position]]*Table132[[#This Row],[Last_Price]]</f>
        <v>288419.64</v>
      </c>
      <c r="I24" s="31"/>
      <c r="L24"/>
      <c r="M24"/>
      <c r="N24"/>
      <c r="O24"/>
      <c r="P24"/>
      <c r="Q24"/>
      <c r="R24"/>
    </row>
    <row r="25" spans="1:18" x14ac:dyDescent="0.25">
      <c r="A25" s="38" t="s">
        <v>60</v>
      </c>
      <c r="B25" s="38" t="s">
        <v>14</v>
      </c>
      <c r="C25" s="51">
        <v>364.8</v>
      </c>
      <c r="D25" s="38">
        <v>802</v>
      </c>
      <c r="E25" s="38">
        <v>802</v>
      </c>
      <c r="F25" s="37">
        <f>Table132[[#This Row],[New position]]-Table132[[#This Row],[Old position]]</f>
        <v>0</v>
      </c>
      <c r="G25" s="38">
        <f>ROUND(Table132[[#This Row],[Target allocation ($)]]/(G60*C9)*100, 3)</f>
        <v>0.34699999999999998</v>
      </c>
      <c r="H25" s="44">
        <f>Table132[[#This Row],[New position]]*Table132[[#This Row],[Last_Price]]</f>
        <v>292569.60000000003</v>
      </c>
      <c r="I25" s="31"/>
      <c r="L25"/>
      <c r="M25"/>
      <c r="N25"/>
      <c r="O25"/>
      <c r="P25"/>
      <c r="Q25"/>
      <c r="R25"/>
    </row>
    <row r="26" spans="1:18" x14ac:dyDescent="0.25">
      <c r="A26" s="38" t="s">
        <v>61</v>
      </c>
      <c r="B26" s="38" t="s">
        <v>14</v>
      </c>
      <c r="C26" s="51">
        <v>189.89</v>
      </c>
      <c r="D26" s="38">
        <v>1557</v>
      </c>
      <c r="E26" s="38">
        <v>1557</v>
      </c>
      <c r="F26" s="37">
        <f>Table132[[#This Row],[New position]]-Table132[[#This Row],[Old position]]</f>
        <v>0</v>
      </c>
      <c r="G26" s="38">
        <f>ROUND(Table132[[#This Row],[Target allocation ($)]]/(G60*C9)*100, 3)</f>
        <v>0.35</v>
      </c>
      <c r="H26" s="44">
        <f>Table132[[#This Row],[New position]]*Table132[[#This Row],[Last_Price]]</f>
        <v>295658.73</v>
      </c>
      <c r="I26" s="31"/>
      <c r="L26"/>
      <c r="M26"/>
      <c r="N26"/>
      <c r="O26"/>
      <c r="P26"/>
      <c r="Q26"/>
      <c r="R26"/>
    </row>
    <row r="27" spans="1:18" x14ac:dyDescent="0.25">
      <c r="A27" s="38" t="s">
        <v>62</v>
      </c>
      <c r="B27" s="38" t="s">
        <v>14</v>
      </c>
      <c r="C27" s="51">
        <v>144</v>
      </c>
      <c r="D27" s="38">
        <v>1932</v>
      </c>
      <c r="E27" s="38">
        <v>1932</v>
      </c>
      <c r="F27" s="37">
        <f>Table132[[#This Row],[New position]]-Table132[[#This Row],[Old position]]</f>
        <v>0</v>
      </c>
      <c r="G27" s="38">
        <f>ROUND(Table132[[#This Row],[Target allocation ($)]]/(G60*C9)*100, 3)</f>
        <v>0.33</v>
      </c>
      <c r="H27" s="44">
        <f>Table132[[#This Row],[New position]]*Table132[[#This Row],[Last_Price]]</f>
        <v>278208</v>
      </c>
      <c r="I27" s="31"/>
      <c r="L27"/>
      <c r="M27"/>
      <c r="N27"/>
      <c r="O27"/>
      <c r="P27"/>
      <c r="Q27"/>
      <c r="R27"/>
    </row>
    <row r="28" spans="1:18" x14ac:dyDescent="0.25">
      <c r="A28" s="38" t="s">
        <v>69</v>
      </c>
      <c r="B28" s="38" t="s">
        <v>14</v>
      </c>
      <c r="C28" s="51">
        <v>175.46</v>
      </c>
      <c r="D28" s="38">
        <v>0</v>
      </c>
      <c r="E28" s="38">
        <v>1871</v>
      </c>
      <c r="F28" s="37">
        <f>Table132[[#This Row],[New position]]-Table132[[#This Row],[Old position]]</f>
        <v>1871</v>
      </c>
      <c r="G28" s="38">
        <f>ROUND(Table132[[#This Row],[Target allocation ($)]]/(G60*C9)*100, 3)</f>
        <v>0.38900000000000001</v>
      </c>
      <c r="H28" s="44">
        <v>328240.38</v>
      </c>
      <c r="I28" s="30"/>
      <c r="L28"/>
      <c r="M28"/>
      <c r="N28"/>
      <c r="O28"/>
      <c r="P28"/>
      <c r="Q28"/>
      <c r="R28"/>
    </row>
    <row r="29" spans="1:18" x14ac:dyDescent="0.25">
      <c r="A29" s="38" t="s">
        <v>70</v>
      </c>
      <c r="B29" s="38" t="s">
        <v>14</v>
      </c>
      <c r="C29" s="51">
        <v>57.77</v>
      </c>
      <c r="D29" s="38">
        <v>0</v>
      </c>
      <c r="E29" s="38">
        <v>5682</v>
      </c>
      <c r="F29" s="37">
        <f>Table132[[#This Row],[New position]]-Table132[[#This Row],[Old position]]</f>
        <v>5682</v>
      </c>
      <c r="G29" s="38">
        <v>0.38900000000000001</v>
      </c>
      <c r="H29" s="44">
        <v>328240.38</v>
      </c>
      <c r="I29" s="56"/>
      <c r="L29"/>
      <c r="M29"/>
      <c r="N29"/>
      <c r="O29"/>
      <c r="P29"/>
      <c r="Q29"/>
      <c r="R29"/>
    </row>
    <row r="30" spans="1:18" x14ac:dyDescent="0.25">
      <c r="A30" s="38" t="s">
        <v>71</v>
      </c>
      <c r="B30" s="38" t="s">
        <v>14</v>
      </c>
      <c r="C30" s="51">
        <v>115.64</v>
      </c>
      <c r="D30" s="38">
        <v>0</v>
      </c>
      <c r="E30" s="38">
        <v>2838</v>
      </c>
      <c r="F30" s="37">
        <f>Table132[[#This Row],[New position]]-Table132[[#This Row],[Old position]]</f>
        <v>2838</v>
      </c>
      <c r="G30" s="38">
        <v>0.38900000000000001</v>
      </c>
      <c r="H30" s="44">
        <v>328240.38</v>
      </c>
      <c r="I30" s="31"/>
      <c r="L30"/>
      <c r="M30"/>
      <c r="N30"/>
      <c r="O30"/>
      <c r="P30"/>
      <c r="Q30"/>
      <c r="R30"/>
    </row>
    <row r="31" spans="1:18" x14ac:dyDescent="0.25">
      <c r="A31" s="38" t="s">
        <v>72</v>
      </c>
      <c r="B31" s="38" t="s">
        <v>14</v>
      </c>
      <c r="C31" s="51">
        <v>27.57</v>
      </c>
      <c r="D31" s="38">
        <v>0</v>
      </c>
      <c r="E31" s="38">
        <v>0</v>
      </c>
      <c r="F31" s="37">
        <f>Table132[[#This Row],[New position]]-Table132[[#This Row],[Old position]]</f>
        <v>0</v>
      </c>
      <c r="G31" s="38">
        <v>0</v>
      </c>
      <c r="H31" s="44">
        <v>0</v>
      </c>
      <c r="I31" s="29" t="s">
        <v>77</v>
      </c>
      <c r="L31"/>
      <c r="M31"/>
      <c r="N31"/>
      <c r="O31"/>
      <c r="P31"/>
      <c r="Q31"/>
      <c r="R31"/>
    </row>
    <row r="32" spans="1:18" x14ac:dyDescent="0.25">
      <c r="A32" s="38" t="s">
        <v>73</v>
      </c>
      <c r="B32" s="38" t="s">
        <v>14</v>
      </c>
      <c r="C32" s="51">
        <v>214.97</v>
      </c>
      <c r="D32" s="38">
        <v>0</v>
      </c>
      <c r="E32" s="38">
        <v>1527</v>
      </c>
      <c r="F32" s="37">
        <f>Table132[[#This Row],[New position]]-Table132[[#This Row],[Old position]]</f>
        <v>1527</v>
      </c>
      <c r="G32" s="38">
        <v>0.38900000000000001</v>
      </c>
      <c r="H32" s="44">
        <v>328240.38</v>
      </c>
      <c r="I32" s="31"/>
      <c r="L32"/>
      <c r="M32"/>
      <c r="N32"/>
      <c r="O32"/>
      <c r="P32"/>
      <c r="Q32"/>
      <c r="R32"/>
    </row>
    <row r="33" spans="1:18" x14ac:dyDescent="0.25">
      <c r="A33" s="38" t="s">
        <v>74</v>
      </c>
      <c r="B33" s="38" t="s">
        <v>14</v>
      </c>
      <c r="C33" s="51">
        <v>1847.63</v>
      </c>
      <c r="D33" s="38">
        <v>0</v>
      </c>
      <c r="E33" s="38">
        <v>178</v>
      </c>
      <c r="F33" s="37">
        <f>Table132[[#This Row],[New position]]-Table132[[#This Row],[Old position]]</f>
        <v>178</v>
      </c>
      <c r="G33" s="67">
        <v>0.38900000000000001</v>
      </c>
      <c r="H33" s="44">
        <v>328240.38</v>
      </c>
      <c r="I33" s="31"/>
      <c r="L33"/>
      <c r="M33"/>
      <c r="N33"/>
      <c r="O33"/>
      <c r="P33"/>
      <c r="Q33"/>
      <c r="R33"/>
    </row>
    <row r="34" spans="1:18" x14ac:dyDescent="0.25">
      <c r="A34" s="38" t="s">
        <v>31</v>
      </c>
      <c r="B34" s="38" t="s">
        <v>14</v>
      </c>
      <c r="C34" s="51">
        <v>234.45</v>
      </c>
      <c r="D34" s="38">
        <v>1193</v>
      </c>
      <c r="E34" s="38">
        <v>0</v>
      </c>
      <c r="F34" s="37">
        <f>Table132[[#This Row],[New position]]-Table132[[#This Row],[Old position]]</f>
        <v>-1193</v>
      </c>
      <c r="G34" s="38">
        <v>0</v>
      </c>
      <c r="H34" s="44">
        <v>0</v>
      </c>
      <c r="I34" s="31"/>
      <c r="L34"/>
      <c r="M34"/>
      <c r="N34"/>
      <c r="O34"/>
      <c r="P34"/>
      <c r="Q34"/>
      <c r="R34"/>
    </row>
    <row r="35" spans="1:18" x14ac:dyDescent="0.25">
      <c r="A35" s="38" t="s">
        <v>33</v>
      </c>
      <c r="B35" s="38" t="s">
        <v>14</v>
      </c>
      <c r="C35" s="51">
        <v>175.9</v>
      </c>
      <c r="D35" s="38">
        <v>1605</v>
      </c>
      <c r="E35" s="38">
        <v>0</v>
      </c>
      <c r="F35" s="37">
        <f>Table132[[#This Row],[New position]]-Table132[[#This Row],[Old position]]</f>
        <v>-1605</v>
      </c>
      <c r="G35" s="38">
        <v>0</v>
      </c>
      <c r="H35" s="44">
        <v>0</v>
      </c>
      <c r="I35" s="31"/>
      <c r="L35"/>
      <c r="M35"/>
      <c r="N35"/>
      <c r="O35"/>
      <c r="P35"/>
      <c r="Q35"/>
      <c r="R35"/>
    </row>
    <row r="36" spans="1:18" x14ac:dyDescent="0.25">
      <c r="A36" s="38" t="s">
        <v>35</v>
      </c>
      <c r="B36" s="38" t="s">
        <v>14</v>
      </c>
      <c r="C36" s="51">
        <v>68.27</v>
      </c>
      <c r="D36" s="38">
        <v>4098</v>
      </c>
      <c r="E36" s="38">
        <v>0</v>
      </c>
      <c r="F36" s="37">
        <f>Table132[[#This Row],[New position]]-Table132[[#This Row],[Old position]]</f>
        <v>-4098</v>
      </c>
      <c r="G36" s="38">
        <v>0</v>
      </c>
      <c r="H36" s="44">
        <v>0</v>
      </c>
      <c r="I36" s="31"/>
      <c r="L36"/>
      <c r="M36"/>
      <c r="N36"/>
      <c r="O36"/>
      <c r="P36"/>
      <c r="Q36"/>
      <c r="R36"/>
    </row>
    <row r="37" spans="1:18" x14ac:dyDescent="0.25">
      <c r="A37" s="38" t="s">
        <v>50</v>
      </c>
      <c r="B37" s="38" t="s">
        <v>14</v>
      </c>
      <c r="C37" s="51">
        <v>2785.2</v>
      </c>
      <c r="D37" s="38">
        <v>95</v>
      </c>
      <c r="E37" s="38">
        <v>0</v>
      </c>
      <c r="F37" s="37">
        <f>Table132[[#This Row],[New position]]-Table132[[#This Row],[Old position]]</f>
        <v>-95</v>
      </c>
      <c r="G37" s="38">
        <v>0</v>
      </c>
      <c r="H37" s="44">
        <v>0</v>
      </c>
      <c r="I37" s="31"/>
      <c r="J37" s="27"/>
      <c r="L37"/>
      <c r="M37"/>
      <c r="N37"/>
      <c r="O37"/>
      <c r="P37"/>
      <c r="Q37"/>
      <c r="R37"/>
    </row>
    <row r="38" spans="1:18" x14ac:dyDescent="0.25">
      <c r="A38" s="38" t="s">
        <v>59</v>
      </c>
      <c r="B38" s="38" t="s">
        <v>14</v>
      </c>
      <c r="C38" s="51">
        <v>216.9</v>
      </c>
      <c r="D38" s="38">
        <v>1301</v>
      </c>
      <c r="E38" s="38">
        <v>0</v>
      </c>
      <c r="F38" s="37">
        <f>Table132[[#This Row],[New position]]-Table132[[#This Row],[Old position]]</f>
        <v>-1301</v>
      </c>
      <c r="G38" s="38">
        <v>0</v>
      </c>
      <c r="H38" s="44">
        <v>0</v>
      </c>
      <c r="I38" s="31"/>
      <c r="L38"/>
      <c r="M38"/>
      <c r="N38"/>
      <c r="O38"/>
      <c r="P38"/>
      <c r="Q38"/>
      <c r="R38"/>
    </row>
    <row r="39" spans="1:18" x14ac:dyDescent="0.25">
      <c r="A39" s="38" t="s">
        <v>11</v>
      </c>
      <c r="B39" s="38" t="s">
        <v>14</v>
      </c>
      <c r="C39" s="51">
        <v>358.74</v>
      </c>
      <c r="D39" s="38">
        <v>168508</v>
      </c>
      <c r="E39" s="38">
        <v>168508</v>
      </c>
      <c r="F39" s="37">
        <f>Table132[[#This Row],[New position]]-Table132[[#This Row],[Old position]]</f>
        <v>0</v>
      </c>
      <c r="G39" s="38">
        <f>ROUND(Table132[[#This Row],[Target allocation ($)]]/(G60*C9)*100, 3)</f>
        <v>71.62</v>
      </c>
      <c r="H39" s="44">
        <f>Table132[[#This Row],[New position]]*Table132[[#This Row],[Last_Price]]</f>
        <v>60450559.920000002</v>
      </c>
      <c r="I39" s="30"/>
      <c r="L39"/>
      <c r="M39"/>
      <c r="N39"/>
      <c r="O39"/>
      <c r="P39"/>
      <c r="Q39"/>
      <c r="R39"/>
    </row>
    <row r="40" spans="1:18" x14ac:dyDescent="0.25">
      <c r="A40" s="38" t="s">
        <v>63</v>
      </c>
      <c r="B40" s="38" t="s">
        <v>14</v>
      </c>
      <c r="C40" s="51">
        <v>40.799999999999997</v>
      </c>
      <c r="D40" s="38">
        <v>46771</v>
      </c>
      <c r="E40" s="38">
        <v>46771</v>
      </c>
      <c r="F40" s="37">
        <f>Table132[[#This Row],[New position]]-Table132[[#This Row],[Old position]]</f>
        <v>0</v>
      </c>
      <c r="G40" s="38">
        <f>ROUND(Table132[[#This Row],[Target allocation ($)]]/(G60*C9)*100, 3)</f>
        <v>2.2610000000000001</v>
      </c>
      <c r="H40" s="44">
        <f>Table132[[#This Row],[New position]]*Table132[[#This Row],[Last_Price]]</f>
        <v>1908256.7999999998</v>
      </c>
      <c r="I40" s="31"/>
      <c r="L40"/>
      <c r="M40"/>
      <c r="N40"/>
      <c r="O40"/>
      <c r="P40"/>
      <c r="Q40"/>
      <c r="R40"/>
    </row>
    <row r="41" spans="1:18" x14ac:dyDescent="0.25">
      <c r="A41" s="38" t="s">
        <v>66</v>
      </c>
      <c r="B41" s="38" t="s">
        <v>14</v>
      </c>
      <c r="C41" s="51">
        <v>44.28</v>
      </c>
      <c r="D41" s="38">
        <v>7198</v>
      </c>
      <c r="E41" s="38">
        <v>7198</v>
      </c>
      <c r="F41" s="37">
        <f>Table132[[#This Row],[New position]]-Table132[[#This Row],[Old position]]</f>
        <v>0</v>
      </c>
      <c r="G41" s="38">
        <f>ROUND(Table132[[#This Row],[Target allocation ($)]]/(G60*C9)*100, 3)</f>
        <v>0.378</v>
      </c>
      <c r="H41" s="44">
        <f>Table132[[#This Row],[New position]]*Table132[[#This Row],[Last_Price]]</f>
        <v>318727.44</v>
      </c>
      <c r="I41" s="31"/>
      <c r="L41"/>
      <c r="M41"/>
      <c r="N41"/>
      <c r="O41"/>
      <c r="P41"/>
      <c r="Q41"/>
      <c r="R41"/>
    </row>
    <row r="42" spans="1:18" x14ac:dyDescent="0.25">
      <c r="A42" s="38" t="s">
        <v>67</v>
      </c>
      <c r="B42" s="38" t="s">
        <v>14</v>
      </c>
      <c r="C42" s="51">
        <v>15.09</v>
      </c>
      <c r="D42" s="38">
        <v>19970</v>
      </c>
      <c r="E42" s="38">
        <v>19970</v>
      </c>
      <c r="F42" s="37">
        <f>Table132[[#This Row],[New position]]-Table132[[#This Row],[Old position]]</f>
        <v>0</v>
      </c>
      <c r="G42" s="38">
        <f>ROUND(Table132[[#This Row],[Target allocation ($)]]/(G60*C9)*100, 3)</f>
        <v>0.35699999999999998</v>
      </c>
      <c r="H42" s="44">
        <f>Table132[[#This Row],[New position]]*Table132[[#This Row],[Last_Price]]</f>
        <v>301347.3</v>
      </c>
      <c r="I42" s="32"/>
      <c r="L42"/>
      <c r="M42"/>
      <c r="N42"/>
      <c r="O42"/>
      <c r="P42"/>
      <c r="Q42"/>
      <c r="R42"/>
    </row>
    <row r="43" spans="1:18" x14ac:dyDescent="0.25">
      <c r="A43" s="38" t="s">
        <v>68</v>
      </c>
      <c r="B43" s="38" t="s">
        <v>14</v>
      </c>
      <c r="C43" s="51">
        <v>22.61</v>
      </c>
      <c r="D43" s="38">
        <v>13967</v>
      </c>
      <c r="E43" s="38">
        <v>13967</v>
      </c>
      <c r="F43" s="37">
        <f>Table132[[#This Row],[New position]]-Table132[[#This Row],[Old position]]</f>
        <v>0</v>
      </c>
      <c r="G43" s="38">
        <f>ROUND(Table132[[#This Row],[Target allocation ($)]]/(G60*C9)*100, 3)</f>
        <v>0.374</v>
      </c>
      <c r="H43" s="44">
        <f>Table132[[#This Row],[New position]]*Table132[[#This Row],[Last_Price]]</f>
        <v>315793.87</v>
      </c>
      <c r="I43" s="31"/>
      <c r="L43" s="47"/>
      <c r="M43"/>
      <c r="N43"/>
      <c r="O43"/>
      <c r="P43"/>
      <c r="Q43"/>
      <c r="R43"/>
    </row>
    <row r="44" spans="1:18" x14ac:dyDescent="0.25">
      <c r="A44" s="38" t="s">
        <v>25</v>
      </c>
      <c r="B44" s="38" t="s">
        <v>14</v>
      </c>
      <c r="C44" s="51">
        <v>96.98</v>
      </c>
      <c r="D44" s="38">
        <v>4601</v>
      </c>
      <c r="E44" s="38">
        <v>4352</v>
      </c>
      <c r="F44" s="37">
        <f>Table132[[#This Row],[New position]]-Table132[[#This Row],[Old position]]</f>
        <v>-249</v>
      </c>
      <c r="G44" s="38">
        <v>0.5</v>
      </c>
      <c r="H44" s="44">
        <v>422023.33</v>
      </c>
      <c r="I44" s="31"/>
      <c r="L44" s="58"/>
      <c r="M44"/>
      <c r="N44"/>
      <c r="O44"/>
      <c r="P44"/>
      <c r="Q44"/>
      <c r="R44"/>
    </row>
    <row r="45" spans="1:18" x14ac:dyDescent="0.25">
      <c r="A45" s="38" t="s">
        <v>26</v>
      </c>
      <c r="B45" s="38" t="s">
        <v>14</v>
      </c>
      <c r="C45" s="51">
        <v>49.42</v>
      </c>
      <c r="D45" s="38">
        <v>8987</v>
      </c>
      <c r="E45" s="38">
        <v>8987</v>
      </c>
      <c r="F45" s="37">
        <f>Table132[[#This Row],[New position]]-Table132[[#This Row],[Old position]]</f>
        <v>0</v>
      </c>
      <c r="G45" s="38">
        <f>ROUND(Table132[[#This Row],[Target allocation ($)]]/(G60*C9)*100, 3)</f>
        <v>0.52600000000000002</v>
      </c>
      <c r="H45" s="44">
        <f>Table132[[#This Row],[New position]]*Table132[[#This Row],[Last_Price]]</f>
        <v>444137.54000000004</v>
      </c>
      <c r="I45" s="30"/>
      <c r="L45" s="58"/>
      <c r="M45"/>
      <c r="N45"/>
      <c r="O45"/>
      <c r="P45"/>
      <c r="Q45"/>
      <c r="R45"/>
    </row>
    <row r="46" spans="1:18" x14ac:dyDescent="0.25">
      <c r="A46" s="49" t="s">
        <v>27</v>
      </c>
      <c r="B46" s="49" t="s">
        <v>14</v>
      </c>
      <c r="C46" s="51">
        <v>71.78</v>
      </c>
      <c r="D46" s="57">
        <v>6143</v>
      </c>
      <c r="E46" s="57">
        <v>5879</v>
      </c>
      <c r="F46" s="37">
        <f>Table132[[#This Row],[New position]]-Table132[[#This Row],[Old position]]</f>
        <v>-264</v>
      </c>
      <c r="G46" s="38">
        <v>0.5</v>
      </c>
      <c r="H46" s="44">
        <v>422023.33</v>
      </c>
      <c r="I46" s="31"/>
      <c r="L46"/>
      <c r="M46"/>
      <c r="N46"/>
      <c r="O46"/>
      <c r="P46"/>
      <c r="Q46"/>
      <c r="R46"/>
    </row>
    <row r="47" spans="1:18" x14ac:dyDescent="0.25">
      <c r="A47" s="65" t="s">
        <v>29</v>
      </c>
      <c r="B47" s="65" t="s">
        <v>14</v>
      </c>
      <c r="C47" s="51">
        <v>15.53</v>
      </c>
      <c r="D47" s="38">
        <v>28395</v>
      </c>
      <c r="E47" s="38">
        <v>27175</v>
      </c>
      <c r="F47" s="37">
        <f>Table132[[#This Row],[New position]]-Table132[[#This Row],[Old position]]</f>
        <v>-1220</v>
      </c>
      <c r="G47" s="38">
        <v>0.5</v>
      </c>
      <c r="H47" s="44">
        <v>422023.33</v>
      </c>
      <c r="I47" s="66"/>
      <c r="L47"/>
      <c r="M47"/>
      <c r="N47"/>
      <c r="O47"/>
      <c r="P47"/>
      <c r="Q47"/>
      <c r="R47"/>
    </row>
    <row r="48" spans="1:18" x14ac:dyDescent="0.25">
      <c r="A48" s="65" t="s">
        <v>75</v>
      </c>
      <c r="B48" s="65" t="s">
        <v>14</v>
      </c>
      <c r="C48" s="51">
        <v>73.8</v>
      </c>
      <c r="D48" s="38">
        <v>0</v>
      </c>
      <c r="E48" s="38">
        <v>2859</v>
      </c>
      <c r="F48" s="38">
        <v>2859</v>
      </c>
      <c r="G48" s="38">
        <v>0.25</v>
      </c>
      <c r="H48" s="44">
        <v>211011.67</v>
      </c>
      <c r="I48" s="66"/>
      <c r="L48"/>
      <c r="M48"/>
      <c r="N48"/>
      <c r="O48"/>
      <c r="P48"/>
      <c r="Q48"/>
      <c r="R48"/>
    </row>
    <row r="49" spans="1:18" x14ac:dyDescent="0.25">
      <c r="A49" s="65" t="s">
        <v>76</v>
      </c>
      <c r="B49" s="65" t="s">
        <v>14</v>
      </c>
      <c r="C49" s="51">
        <v>66.16</v>
      </c>
      <c r="D49" s="38">
        <v>0</v>
      </c>
      <c r="E49" s="38">
        <v>3189</v>
      </c>
      <c r="F49" s="38">
        <v>3189</v>
      </c>
      <c r="G49" s="38">
        <v>0.25</v>
      </c>
      <c r="H49" s="44">
        <v>211011.67</v>
      </c>
      <c r="I49" s="66"/>
      <c r="L49"/>
      <c r="M49"/>
      <c r="N49"/>
      <c r="O49"/>
      <c r="P49"/>
      <c r="Q49"/>
      <c r="R49"/>
    </row>
    <row r="50" spans="1:18" x14ac:dyDescent="0.25">
      <c r="A50" s="65" t="s">
        <v>34</v>
      </c>
      <c r="B50" s="65" t="s">
        <v>15</v>
      </c>
      <c r="C50" s="51">
        <v>103970</v>
      </c>
      <c r="D50" s="38">
        <v>4</v>
      </c>
      <c r="E50" s="38">
        <v>4</v>
      </c>
      <c r="F50" s="37">
        <f>ROUND(Table132[[#This Row],[New position]]-Table132[[#This Row],[Old position]], -2)</f>
        <v>0</v>
      </c>
      <c r="G50" s="38">
        <v>0.5</v>
      </c>
      <c r="H50" s="44">
        <v>422023.33</v>
      </c>
      <c r="I50" s="66"/>
      <c r="L50"/>
      <c r="M50"/>
      <c r="N50"/>
      <c r="O50"/>
      <c r="P50"/>
      <c r="Q50"/>
      <c r="R50"/>
    </row>
    <row r="51" spans="1:18" x14ac:dyDescent="0.25">
      <c r="A51" s="65" t="s">
        <v>37</v>
      </c>
      <c r="B51" s="65" t="s">
        <v>15</v>
      </c>
      <c r="C51" s="51">
        <v>104905</v>
      </c>
      <c r="D51" s="38">
        <v>4</v>
      </c>
      <c r="E51" s="38">
        <v>4</v>
      </c>
      <c r="F51" s="37">
        <f>ROUND(Table132[[#This Row],[New position]]-Table132[[#This Row],[Old position]], -2)</f>
        <v>0</v>
      </c>
      <c r="G51" s="38">
        <v>0.5</v>
      </c>
      <c r="H51" s="44">
        <v>422023.33</v>
      </c>
      <c r="I51" s="66"/>
      <c r="L51"/>
      <c r="M51"/>
      <c r="N51"/>
      <c r="O51"/>
      <c r="P51"/>
      <c r="Q51"/>
      <c r="R51"/>
    </row>
    <row r="52" spans="1:18" x14ac:dyDescent="0.25">
      <c r="A52" s="65" t="s">
        <v>38</v>
      </c>
      <c r="B52" s="65" t="s">
        <v>15</v>
      </c>
      <c r="C52" s="51">
        <v>115370</v>
      </c>
      <c r="D52" s="38">
        <v>4</v>
      </c>
      <c r="E52" s="38">
        <v>4</v>
      </c>
      <c r="F52" s="37">
        <f>ROUND(Table132[[#This Row],[New position]]-Table132[[#This Row],[Old position]], -2)</f>
        <v>0</v>
      </c>
      <c r="G52" s="38">
        <v>0.5</v>
      </c>
      <c r="H52" s="44">
        <v>422023.33</v>
      </c>
      <c r="I52" s="66"/>
      <c r="L52"/>
      <c r="M52"/>
      <c r="N52"/>
      <c r="O52"/>
      <c r="P52"/>
      <c r="Q52"/>
      <c r="R52"/>
    </row>
    <row r="53" spans="1:18" x14ac:dyDescent="0.25">
      <c r="A53" s="65" t="s">
        <v>51</v>
      </c>
      <c r="B53" s="65" t="s">
        <v>15</v>
      </c>
      <c r="C53" s="51">
        <v>91390</v>
      </c>
      <c r="D53" s="38">
        <v>5</v>
      </c>
      <c r="E53" s="38">
        <v>0</v>
      </c>
      <c r="F53" s="37">
        <f>Table132[[#This Row],[New position]]-Table132[[#This Row],[Old position]]</f>
        <v>-5</v>
      </c>
      <c r="G53" s="38">
        <v>0</v>
      </c>
      <c r="H53" s="44">
        <v>0</v>
      </c>
      <c r="I53" s="66"/>
      <c r="L53"/>
      <c r="M53"/>
      <c r="N53"/>
      <c r="O53"/>
      <c r="P53"/>
      <c r="Q53"/>
      <c r="R53"/>
    </row>
    <row r="54" spans="1:18" x14ac:dyDescent="0.25">
      <c r="A54" s="65" t="s">
        <v>64</v>
      </c>
      <c r="B54" s="65" t="s">
        <v>14</v>
      </c>
      <c r="C54" s="51">
        <v>37.56</v>
      </c>
      <c r="D54" s="38">
        <v>24710</v>
      </c>
      <c r="E54" s="38">
        <v>24710</v>
      </c>
      <c r="F54" s="37">
        <f>ROUND(Table132[[#This Row],[New position]]-Table132[[#This Row],[Old position]], -2)</f>
        <v>0</v>
      </c>
      <c r="G54" s="38">
        <f>ROUND(Table132[[#This Row],[Target allocation ($)]]/(G60*C9)*100, 3)</f>
        <v>1.1000000000000001</v>
      </c>
      <c r="H54" s="44">
        <f>Table132[[#This Row],[New position]]*Table132[[#This Row],[Last_Price]]</f>
        <v>928107.60000000009</v>
      </c>
      <c r="I54" s="66"/>
      <c r="L54"/>
      <c r="M54"/>
      <c r="N54"/>
      <c r="O54"/>
      <c r="P54"/>
      <c r="Q54"/>
      <c r="R54"/>
    </row>
    <row r="55" spans="1:18" x14ac:dyDescent="0.25">
      <c r="A55" s="49"/>
      <c r="B55" s="49"/>
      <c r="C55" s="51"/>
      <c r="D55" s="57"/>
      <c r="E55" s="57"/>
      <c r="F55" s="37"/>
      <c r="G55" s="38"/>
      <c r="H55" s="51"/>
      <c r="I55" s="31"/>
      <c r="L55"/>
      <c r="M55"/>
      <c r="N55"/>
      <c r="O55"/>
      <c r="P55"/>
      <c r="Q55"/>
      <c r="R55"/>
    </row>
    <row r="56" spans="1:18" x14ac:dyDescent="0.25">
      <c r="A56" s="49"/>
      <c r="B56" s="49"/>
      <c r="C56" s="50"/>
      <c r="D56" s="39"/>
      <c r="E56" s="40"/>
      <c r="F56" s="35"/>
      <c r="G56" s="38"/>
      <c r="H56" s="51"/>
      <c r="I56" s="31"/>
      <c r="L56"/>
      <c r="M56"/>
      <c r="N56"/>
      <c r="O56"/>
      <c r="P56"/>
      <c r="Q56"/>
      <c r="R56"/>
    </row>
    <row r="57" spans="1:18" x14ac:dyDescent="0.25">
      <c r="A57" s="49"/>
      <c r="B57" s="49"/>
      <c r="C57" s="50"/>
      <c r="D57" s="39"/>
      <c r="E57" s="40"/>
      <c r="F57" s="35"/>
      <c r="G57" s="38"/>
      <c r="H57" s="51"/>
      <c r="I57" s="31"/>
      <c r="L57"/>
      <c r="M57"/>
      <c r="N57"/>
      <c r="O57"/>
      <c r="P57"/>
      <c r="Q57"/>
      <c r="R57"/>
    </row>
    <row r="58" spans="1:18" x14ac:dyDescent="0.25">
      <c r="A58" s="49"/>
      <c r="B58" s="49"/>
      <c r="C58" s="50"/>
      <c r="D58" s="39"/>
      <c r="E58" s="40"/>
      <c r="F58" s="35"/>
      <c r="G58" s="38"/>
      <c r="H58" s="51"/>
      <c r="I58" s="55"/>
      <c r="L58"/>
      <c r="M58"/>
      <c r="N58"/>
      <c r="O58"/>
      <c r="P58"/>
      <c r="Q58"/>
      <c r="R58"/>
    </row>
    <row r="59" spans="1:18" ht="45" x14ac:dyDescent="0.25">
      <c r="A59" s="49" t="s">
        <v>65</v>
      </c>
      <c r="B59" s="49"/>
      <c r="C59" s="50"/>
      <c r="D59" s="39"/>
      <c r="E59" s="40"/>
      <c r="F59" s="35"/>
      <c r="G59" s="38">
        <f xml:space="preserve"> (C13+G67*G60)/C9</f>
        <v>2.5713159999999999</v>
      </c>
      <c r="H59" s="51"/>
      <c r="I59" s="55"/>
      <c r="L59"/>
      <c r="M59"/>
      <c r="N59"/>
      <c r="O59"/>
      <c r="P59"/>
      <c r="Q59"/>
      <c r="R59"/>
    </row>
    <row r="60" spans="1:18" ht="30" x14ac:dyDescent="0.25">
      <c r="A60" s="49" t="s">
        <v>57</v>
      </c>
      <c r="B60" s="49"/>
      <c r="C60" s="50"/>
      <c r="D60" s="39"/>
      <c r="E60" s="40"/>
      <c r="F60" s="35"/>
      <c r="G60" s="38">
        <v>2.5713159999999999</v>
      </c>
      <c r="H60" s="51"/>
      <c r="I60" s="55"/>
      <c r="L60"/>
      <c r="M60"/>
      <c r="N60"/>
      <c r="O60"/>
      <c r="P60"/>
      <c r="Q60"/>
      <c r="R60"/>
    </row>
    <row r="61" spans="1:18" x14ac:dyDescent="0.25">
      <c r="A61" s="38" t="s">
        <v>42</v>
      </c>
      <c r="B61" s="38"/>
      <c r="C61" s="38"/>
      <c r="D61" s="38"/>
      <c r="E61" s="28"/>
      <c r="F61" s="52" t="s">
        <v>42</v>
      </c>
      <c r="G61" s="59">
        <f>SUM(H16:H43)/(G60*C9)</f>
        <v>0.80990929093873376</v>
      </c>
      <c r="H61" s="38"/>
      <c r="I61" s="31"/>
      <c r="L61"/>
      <c r="M61"/>
      <c r="N61"/>
      <c r="O61"/>
      <c r="P61"/>
      <c r="Q61"/>
      <c r="R61"/>
    </row>
    <row r="62" spans="1:18" x14ac:dyDescent="0.25">
      <c r="A62" s="38" t="s">
        <v>43</v>
      </c>
      <c r="B62" s="49"/>
      <c r="C62" s="50"/>
      <c r="D62" s="39"/>
      <c r="E62" s="40"/>
      <c r="F62" s="52" t="s">
        <v>43</v>
      </c>
      <c r="G62" s="59">
        <f>SUM(H44:H53)/(G60*C9)</f>
        <v>4.0262002099702023E-2</v>
      </c>
      <c r="H62" s="51"/>
      <c r="I62" s="31"/>
      <c r="L62"/>
      <c r="M62"/>
      <c r="N62"/>
      <c r="O62"/>
      <c r="P62"/>
      <c r="Q62"/>
      <c r="R62"/>
    </row>
    <row r="63" spans="1:18" x14ac:dyDescent="0.25">
      <c r="A63" s="49" t="s">
        <v>45</v>
      </c>
      <c r="B63" s="38"/>
      <c r="C63" s="38"/>
      <c r="D63" s="38"/>
      <c r="E63" s="28"/>
      <c r="F63" s="53" t="s">
        <v>45</v>
      </c>
      <c r="G63" s="59">
        <f>H54/(G60*C12)</f>
        <v>1.0995927576568192E-2</v>
      </c>
      <c r="H63" s="38"/>
      <c r="I63" s="32"/>
      <c r="L63"/>
      <c r="M63"/>
      <c r="N63"/>
      <c r="O63"/>
      <c r="P63"/>
      <c r="Q63"/>
      <c r="R63"/>
    </row>
    <row r="64" spans="1:18" x14ac:dyDescent="0.25">
      <c r="A64" s="38" t="s">
        <v>44</v>
      </c>
      <c r="B64" s="38"/>
      <c r="C64" s="38"/>
      <c r="D64" s="38"/>
      <c r="E64" s="28"/>
      <c r="F64" s="52" t="s">
        <v>44</v>
      </c>
      <c r="G64" s="59">
        <f>0/(G60*C9)</f>
        <v>0</v>
      </c>
      <c r="H64" s="38"/>
      <c r="I64" s="33"/>
      <c r="L64"/>
      <c r="M64"/>
      <c r="N64"/>
      <c r="O64"/>
      <c r="P64"/>
      <c r="Q64"/>
      <c r="R64"/>
    </row>
    <row r="65" spans="1:18" x14ac:dyDescent="0.25">
      <c r="A65" s="38" t="s">
        <v>24</v>
      </c>
      <c r="B65" s="38"/>
      <c r="C65" s="38"/>
      <c r="D65" s="38"/>
      <c r="E65" s="28"/>
      <c r="F65" s="52" t="s">
        <v>24</v>
      </c>
      <c r="G65" s="59">
        <f>1-SUM(G61:G64)</f>
        <v>0.13883277938499605</v>
      </c>
      <c r="H65" s="38"/>
      <c r="I65" s="31"/>
      <c r="L65"/>
      <c r="M65"/>
      <c r="N65"/>
      <c r="O65"/>
      <c r="P65"/>
      <c r="Q65"/>
      <c r="R65"/>
    </row>
    <row r="66" spans="1:18" x14ac:dyDescent="0.25">
      <c r="A66" s="49" t="s">
        <v>11</v>
      </c>
      <c r="B66" s="49"/>
      <c r="C66" s="50"/>
      <c r="D66" s="39"/>
      <c r="E66" s="40"/>
      <c r="F66" s="38"/>
      <c r="G66" s="59">
        <f>SUM(H33)/(G60*C9)</f>
        <v>3.8888890104824291E-3</v>
      </c>
      <c r="H66" s="51"/>
      <c r="I66" s="31"/>
      <c r="L66"/>
      <c r="M66"/>
      <c r="N66"/>
      <c r="O66"/>
      <c r="P66"/>
      <c r="Q66"/>
      <c r="R66"/>
    </row>
    <row r="67" spans="1:18" x14ac:dyDescent="0.25">
      <c r="A67" s="28" t="s">
        <v>49</v>
      </c>
      <c r="B67" s="28"/>
      <c r="C67" s="36"/>
      <c r="D67" s="28"/>
      <c r="E67" s="28"/>
      <c r="F67" s="35"/>
      <c r="G67" s="38">
        <f>C12*G65</f>
        <v>4557251.7900499236</v>
      </c>
      <c r="H67" s="44"/>
      <c r="I67" s="34"/>
      <c r="L67"/>
      <c r="M67"/>
      <c r="N67"/>
      <c r="O67"/>
      <c r="P67"/>
      <c r="Q67"/>
      <c r="R67"/>
    </row>
    <row r="68" spans="1:18" x14ac:dyDescent="0.25">
      <c r="A68" s="28"/>
      <c r="B68" s="28"/>
      <c r="C68" s="36"/>
      <c r="D68" s="28"/>
      <c r="E68" s="28"/>
      <c r="F68" s="28"/>
      <c r="G68" s="38"/>
      <c r="H68" s="44"/>
      <c r="I68" s="31"/>
      <c r="L68"/>
      <c r="M68"/>
      <c r="N68"/>
      <c r="O68"/>
      <c r="P68"/>
      <c r="Q68"/>
      <c r="R68"/>
    </row>
    <row r="69" spans="1:18" x14ac:dyDescent="0.25">
      <c r="A69" s="28"/>
      <c r="B69" s="28"/>
      <c r="C69" s="36"/>
      <c r="D69" s="28"/>
      <c r="E69" s="28"/>
      <c r="F69" s="35"/>
      <c r="G69" s="38"/>
      <c r="H69" s="44"/>
      <c r="I69" s="31"/>
      <c r="L69"/>
      <c r="M69"/>
      <c r="N69"/>
      <c r="O69"/>
      <c r="P69"/>
      <c r="Q69"/>
      <c r="R69"/>
    </row>
    <row r="70" spans="1:18" x14ac:dyDescent="0.25">
      <c r="A70" s="28"/>
      <c r="B70" s="28"/>
      <c r="C70" s="36"/>
      <c r="D70" s="28"/>
      <c r="E70" s="28"/>
      <c r="F70" s="35"/>
      <c r="G70" s="38"/>
      <c r="H70" s="44"/>
      <c r="I70" s="31"/>
      <c r="L70"/>
      <c r="M70"/>
      <c r="N70"/>
      <c r="O70"/>
      <c r="P70"/>
      <c r="Q70"/>
      <c r="R70"/>
    </row>
    <row r="71" spans="1:18" x14ac:dyDescent="0.25">
      <c r="A71" s="22"/>
      <c r="B71" s="5" t="s">
        <v>22</v>
      </c>
      <c r="D71" s="1"/>
      <c r="E71" s="5" t="s">
        <v>21</v>
      </c>
      <c r="F71" s="1"/>
      <c r="G71" s="5"/>
      <c r="H71" s="45" t="s">
        <v>2</v>
      </c>
      <c r="I71" s="4"/>
      <c r="L71"/>
      <c r="M71"/>
      <c r="N71"/>
      <c r="O71"/>
      <c r="P71"/>
      <c r="Q71"/>
      <c r="R71"/>
    </row>
    <row r="72" spans="1:18" x14ac:dyDescent="0.25">
      <c r="B72" s="5" t="s">
        <v>39</v>
      </c>
      <c r="D72" s="1"/>
      <c r="E72" s="5" t="s">
        <v>39</v>
      </c>
      <c r="F72" s="1"/>
      <c r="G72" s="5"/>
      <c r="H72" s="45" t="s">
        <v>3</v>
      </c>
      <c r="L72"/>
      <c r="M72"/>
      <c r="N72"/>
      <c r="O72"/>
      <c r="P72"/>
      <c r="Q72"/>
      <c r="R72"/>
    </row>
    <row r="73" spans="1:18" x14ac:dyDescent="0.25">
      <c r="B73" s="3"/>
      <c r="C73"/>
      <c r="D73" s="1"/>
      <c r="E73" s="3"/>
      <c r="F73" s="21"/>
      <c r="G73" s="3"/>
      <c r="H73" s="46"/>
      <c r="L73"/>
      <c r="M73"/>
      <c r="N73"/>
      <c r="O73"/>
      <c r="P73"/>
      <c r="Q73"/>
      <c r="R73"/>
    </row>
    <row r="74" spans="1:18" x14ac:dyDescent="0.25">
      <c r="C74"/>
      <c r="L74"/>
      <c r="M74"/>
      <c r="N74"/>
      <c r="O74"/>
      <c r="P74"/>
      <c r="Q74"/>
      <c r="R74"/>
    </row>
    <row r="75" spans="1:18" x14ac:dyDescent="0.25">
      <c r="L75"/>
      <c r="M75"/>
      <c r="N75"/>
      <c r="O75"/>
      <c r="P75"/>
      <c r="Q75"/>
      <c r="R75"/>
    </row>
    <row r="76" spans="1:18" x14ac:dyDescent="0.25">
      <c r="L76"/>
      <c r="M76"/>
      <c r="N76"/>
      <c r="O76"/>
      <c r="P76"/>
      <c r="Q76"/>
      <c r="R76"/>
    </row>
    <row r="77" spans="1:18" x14ac:dyDescent="0.25">
      <c r="L77"/>
      <c r="M77"/>
      <c r="N77"/>
      <c r="O77"/>
      <c r="P77"/>
      <c r="Q77"/>
      <c r="R77"/>
    </row>
    <row r="78" spans="1:18" x14ac:dyDescent="0.25">
      <c r="L78"/>
      <c r="M78"/>
      <c r="N78"/>
      <c r="O78"/>
      <c r="P78"/>
      <c r="Q78"/>
      <c r="R78"/>
    </row>
  </sheetData>
  <mergeCells count="13">
    <mergeCell ref="A12:B12"/>
    <mergeCell ref="A13:B13"/>
    <mergeCell ref="A1:B1"/>
    <mergeCell ref="A2:B2"/>
    <mergeCell ref="A8:B8"/>
    <mergeCell ref="A9:B9"/>
    <mergeCell ref="A10:B10"/>
    <mergeCell ref="A11:B11"/>
    <mergeCell ref="A3:B3"/>
    <mergeCell ref="A5:B5"/>
    <mergeCell ref="A7:B7"/>
    <mergeCell ref="A6:B6"/>
    <mergeCell ref="A4:B4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2023-10-20T11:54:39Z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