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390" documentId="14_{A48F4B07-3EF3-43E5-91B2-4CA340E6013A}" xr6:coauthVersionLast="47" xr6:coauthVersionMax="47" xr10:uidLastSave="{1E0D4509-0770-4218-82A8-50EDDAA961AA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3" l="1"/>
  <c r="H39" i="3"/>
  <c r="H38" i="3"/>
  <c r="C8" i="3" l="1"/>
  <c r="C7" i="3"/>
  <c r="C3" i="3"/>
  <c r="H35" i="3"/>
  <c r="H34" i="3"/>
  <c r="H33" i="3"/>
  <c r="F55" i="3"/>
  <c r="F53" i="3"/>
  <c r="F54" i="3"/>
  <c r="F49" i="3"/>
  <c r="F50" i="3"/>
  <c r="F51" i="3"/>
  <c r="F52" i="3"/>
  <c r="H42" i="3"/>
  <c r="H41" i="3"/>
  <c r="H37" i="3"/>
  <c r="H17" i="3" l="1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6" i="3"/>
  <c r="H16" i="3"/>
  <c r="F35" i="3" l="1"/>
  <c r="F33" i="3"/>
  <c r="C13" i="3" a="1"/>
  <c r="F38" i="3"/>
  <c r="F36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7" i="3"/>
  <c r="F39" i="3"/>
  <c r="F40" i="3"/>
  <c r="F41" i="3"/>
  <c r="F42" i="3"/>
  <c r="C12" i="3"/>
  <c r="G49" i="3" l="1"/>
  <c r="G51" i="3"/>
  <c r="G52" i="3"/>
  <c r="G53" i="3"/>
  <c r="G54" i="3"/>
  <c r="G50" i="3"/>
  <c r="C6" i="3"/>
  <c r="C4" i="3"/>
  <c r="C5" i="3"/>
  <c r="G55" i="3" l="1"/>
  <c r="G56" i="3" s="1"/>
  <c r="C13" i="3" l="1"/>
  <c r="G47" i="3" s="1"/>
  <c r="G31" i="3" l="1"/>
  <c r="G20" i="3"/>
  <c r="G16" i="3"/>
  <c r="G42" i="3"/>
  <c r="E54" i="3" s="1"/>
  <c r="G41" i="3"/>
  <c r="E52" i="3" s="1"/>
  <c r="G29" i="3"/>
  <c r="G22" i="3"/>
  <c r="G24" i="3"/>
  <c r="G18" i="3"/>
  <c r="G34" i="3"/>
  <c r="G33" i="3"/>
  <c r="E50" i="3" s="1"/>
  <c r="G32" i="3"/>
  <c r="G28" i="3"/>
  <c r="G36" i="3"/>
  <c r="G25" i="3"/>
  <c r="G38" i="3"/>
  <c r="G19" i="3"/>
  <c r="G23" i="3"/>
  <c r="G30" i="3"/>
  <c r="G26" i="3"/>
  <c r="G40" i="3"/>
  <c r="G17" i="3"/>
  <c r="G27" i="3"/>
  <c r="G39" i="3"/>
  <c r="G21" i="3"/>
  <c r="G35" i="3"/>
  <c r="G37" i="3"/>
  <c r="C2" i="3"/>
  <c r="E53" i="3" l="1"/>
  <c r="E51" i="3"/>
  <c r="E49" i="3"/>
  <c r="E55" i="3" s="1"/>
  <c r="E56" i="3" s="1"/>
</calcChain>
</file>

<file path=xl/sharedStrings.xml><?xml version="1.0" encoding="utf-8"?>
<sst xmlns="http://schemas.openxmlformats.org/spreadsheetml/2006/main" count="93" uniqueCount="65">
  <si>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</si>
  <si>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</si>
  <si>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</si>
  <si>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</si>
  <si>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</si>
  <si>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</si>
  <si>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</si>
  <si>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</si>
  <si>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</si>
  <si>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</si>
  <si>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</si>
  <si>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</si>
  <si>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</si>
  <si>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</si>
  <si>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</si>
  <si>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</si>
  <si>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</si>
  <si>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</si>
  <si>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</si>
  <si>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</si>
  <si>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</si>
  <si>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</si>
  <si>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</si>
  <si>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</si>
  <si>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</si>
  <si>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</si>
  <si>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</si>
  <si>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</si>
  <si>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</si>
  <si>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</si>
  <si>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</si>
  <si>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</si>
  <si>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</si>
  <si>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</si>
  <si>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</si>
  <si>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</si>
  <si>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</si>
  <si>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</si>
  <si>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</si>
  <si>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</si>
  <si>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</si>
  <si>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</si>
  <si>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</si>
  <si>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</si>
  <si>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</si>
  <si>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</si>
  <si>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</si>
  <si>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</si>
  <si>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</si>
  <si>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</si>
  <si>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</si>
  <si>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</si>
  <si>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</si>
  <si>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</si>
  <si>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</si>
  <si>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</si>
  <si>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XBTF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</si>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</sst>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  <xf numFmtId="0" fontId="17" fillId="2" borderId="1" xfId="0" applyFont="1" applyFill="1" applyBorder="1"/>
    <xf numFmtId="2" fontId="0" fillId="2" borderId="1" xfId="0" applyNumberFormat="1" applyFont="1" applyFill="1" applyBorder="1"/>
    <xf numFmtId="0" fontId="0" fillId="2" borderId="1" xfId="0" applyNumberFormat="1" applyFill="1" applyBorder="1"/>
    <xf numFmtId="0" fontId="0" fillId="2" borderId="1" xfId="1" applyNumberFormat="1" applyFont="1" applyFill="1" applyBorder="1" applyAlignment="1">
      <alignment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Sheet1!$F$49:$F$55</c:f>
              <c:strCache>
                <c:ptCount val="7"/>
                <c:pt idx="0">
                  <c:v>SingleStocks</c:v>
                </c:pt>
                <c:pt idx="1">
                  <c:v>QQQ</c:v>
                </c:pt>
                <c:pt idx="2">
                  <c:v>Bonds</c:v>
                </c:pt>
                <c:pt idx="3">
                  <c:v>Gold</c:v>
                </c:pt>
                <c:pt idx="4">
                  <c:v>Commodities</c:v>
                </c:pt>
                <c:pt idx="5">
                  <c:v>Crypto</c:v>
                </c:pt>
                <c:pt idx="6">
                  <c:v>Cash</c:v>
                </c:pt>
              </c:strCache>
            </c:strRef>
          </c:cat>
          <c:val>
            <c:numRef>
              <c:f>Sheet1!$G$49:$G$55</c:f>
              <c:numCache>
                <c:formatCode>0.00</c:formatCode>
                <c:ptCount val="7"/>
                <c:pt idx="0">
                  <c:v>9.5746109827222439E-2</c:v>
                </c:pt>
                <c:pt idx="1">
                  <c:v>0.91275590606846413</c:v>
                </c:pt>
                <c:pt idx="2">
                  <c:v>1.1477440012997378E-2</c:v>
                </c:pt>
                <c:pt idx="3">
                  <c:v>6.4857039645772642E-3</c:v>
                </c:pt>
                <c:pt idx="4">
                  <c:v>0</c:v>
                </c:pt>
                <c:pt idx="5">
                  <c:v>7.6331198771658988E-3</c:v>
                </c:pt>
                <c:pt idx="6">
                  <c:v>-2.6465159873261257E-2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59" totalsRowShown="0" headerRowDxfId="13" dataDxfId="11" headerRowBorderDxfId="12" tableBorderDxfId="10" totalsRowBorderDxfId="9">
  <autoFilter ref="A15:I59" xr:uid="{00000000-0009-0000-0100-000001000000}"/>
  <sortState xmlns:xlrd2="http://schemas.microsoft.com/office/spreadsheetml/2017/richdata2" ref="A16:I58">
    <sortCondition ref="A15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7"/>
  <sheetViews>
    <sheetView tabSelected="1" topLeftCell="A23" zoomScale="115" zoomScaleNormal="115" workbookViewId="0">
      <selection activeCell="K38" sqref="K3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58" t="s">
        <v>0</v>
      </c>
      <c r="B1" s="58"/>
      <c r="C1" s="12">
        <v>45231</v>
      </c>
      <c r="E1" s="14"/>
      <c r="F1" s="14"/>
      <c r="G1" s="47"/>
      <c r="H1" s="14"/>
    </row>
    <row r="2" spans="1:18" s="13" customFormat="1" x14ac:dyDescent="0.25">
      <c r="A2" s="58" t="s">
        <v>10</v>
      </c>
      <c r="B2" s="58"/>
      <c r="C2" s="15">
        <f>C13/C12</f>
        <v>2.1752795231109872</v>
      </c>
      <c r="D2"/>
      <c r="E2" s="24"/>
      <c r="F2" s="17"/>
      <c r="G2" s="17"/>
      <c r="H2" s="16"/>
    </row>
    <row r="3" spans="1:18" s="13" customFormat="1" x14ac:dyDescent="0.25">
      <c r="A3" s="60" t="s">
        <v>63</v>
      </c>
      <c r="B3" s="61"/>
      <c r="C3" s="15">
        <f>SUM(H16:H32)/C12</f>
        <v>0.19862779423542848</v>
      </c>
      <c r="D3"/>
      <c r="E3" s="24"/>
      <c r="F3" s="17"/>
      <c r="G3" s="17"/>
      <c r="H3" s="16"/>
    </row>
    <row r="4" spans="1:18" s="13" customFormat="1" x14ac:dyDescent="0.25">
      <c r="A4" s="60" t="s">
        <v>36</v>
      </c>
      <c r="B4" s="61"/>
      <c r="C4" s="15">
        <f>H33/C12</f>
        <v>1.8935358587925866</v>
      </c>
      <c r="D4"/>
      <c r="E4" s="24"/>
      <c r="F4" s="17"/>
      <c r="G4" s="17"/>
      <c r="H4" s="16"/>
    </row>
    <row r="5" spans="1:18" s="13" customFormat="1" x14ac:dyDescent="0.25">
      <c r="A5" s="60" t="s">
        <v>29</v>
      </c>
      <c r="B5" s="61"/>
      <c r="C5" s="15">
        <f>SUM(H37:H40)/C12</f>
        <v>2.38102477204034E-2</v>
      </c>
      <c r="D5"/>
      <c r="E5" s="24"/>
      <c r="F5" s="17"/>
      <c r="G5" s="17"/>
      <c r="H5" s="16"/>
    </row>
    <row r="6" spans="1:18" s="13" customFormat="1" x14ac:dyDescent="0.25">
      <c r="A6" s="60" t="s">
        <v>30</v>
      </c>
      <c r="B6" s="61"/>
      <c r="C6" s="15">
        <f>SUM(H34:H36)/C12</f>
        <v>3.0015755213452257E-2</v>
      </c>
      <c r="D6"/>
      <c r="E6" s="24"/>
      <c r="F6" s="17"/>
      <c r="G6" s="17"/>
      <c r="H6" s="16"/>
    </row>
    <row r="7" spans="1:18" s="13" customFormat="1" x14ac:dyDescent="0.25">
      <c r="A7" s="60" t="s">
        <v>64</v>
      </c>
      <c r="B7" s="61"/>
      <c r="C7" s="15">
        <f>SUM(H41)/C12</f>
        <v>1.3454761502818616E-2</v>
      </c>
      <c r="D7"/>
      <c r="E7" s="24"/>
      <c r="F7" s="17"/>
      <c r="G7" s="17"/>
      <c r="H7" s="16"/>
    </row>
    <row r="8" spans="1:18" s="13" customFormat="1" ht="27.75" customHeight="1" x14ac:dyDescent="0.25">
      <c r="A8" s="59" t="s">
        <v>62</v>
      </c>
      <c r="B8" s="59"/>
      <c r="C8" s="15">
        <f>SUM(H42)/C12</f>
        <v>1.5835105646297466E-2</v>
      </c>
      <c r="D8" s="23"/>
      <c r="E8" s="16"/>
      <c r="F8" s="17"/>
      <c r="G8" s="17"/>
      <c r="H8" s="16"/>
    </row>
    <row r="9" spans="1:18" s="13" customFormat="1" ht="12.75" x14ac:dyDescent="0.25">
      <c r="A9" s="58" t="s">
        <v>8</v>
      </c>
      <c r="B9" s="58"/>
      <c r="C9" s="18">
        <v>31134456</v>
      </c>
      <c r="D9" s="25"/>
      <c r="E9" s="17"/>
      <c r="F9" s="17"/>
      <c r="G9" s="17"/>
      <c r="H9" s="16"/>
    </row>
    <row r="10" spans="1:18" s="13" customFormat="1" ht="12.75" x14ac:dyDescent="0.25">
      <c r="A10" s="58" t="s">
        <v>6</v>
      </c>
      <c r="B10" s="58"/>
      <c r="C10" s="18">
        <v>0</v>
      </c>
      <c r="F10" s="17"/>
      <c r="H10" s="40"/>
    </row>
    <row r="11" spans="1:18" s="13" customFormat="1" ht="12.75" x14ac:dyDescent="0.25">
      <c r="A11" s="58" t="s">
        <v>7</v>
      </c>
      <c r="B11" s="58"/>
      <c r="C11" s="18">
        <v>0</v>
      </c>
      <c r="D11" s="22"/>
      <c r="E11" s="17"/>
      <c r="F11" s="17"/>
      <c r="G11" s="17"/>
      <c r="H11" s="16"/>
    </row>
    <row r="12" spans="1:18" s="13" customFormat="1" ht="12.75" x14ac:dyDescent="0.25">
      <c r="A12" s="58" t="s">
        <v>9</v>
      </c>
      <c r="B12" s="58"/>
      <c r="C12" s="18">
        <f>C9+C10-C11</f>
        <v>31134456</v>
      </c>
      <c r="D12" s="22"/>
      <c r="E12" s="17"/>
      <c r="F12" s="17"/>
      <c r="G12" s="17"/>
      <c r="H12" s="16"/>
    </row>
    <row r="13" spans="1:18" s="13" customFormat="1" ht="27.75" customHeight="1" x14ac:dyDescent="0.25">
      <c r="A13" s="59" t="s">
        <v>5</v>
      </c>
      <c r="B13" s="59"/>
      <c r="C13" s="11">
        <f t="array" ref="C13">SUM(ABS(Table132[Target allocation ($)]))</f>
        <v>67726144.600000009</v>
      </c>
      <c r="D13" s="22" t="s">
        <v>22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1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15</v>
      </c>
      <c r="D15" s="7" t="s">
        <v>16</v>
      </c>
      <c r="E15" s="7" t="s">
        <v>17</v>
      </c>
      <c r="F15" s="9" t="s">
        <v>4</v>
      </c>
      <c r="G15" s="7" t="s">
        <v>18</v>
      </c>
      <c r="H15" s="42" t="s">
        <v>19</v>
      </c>
      <c r="I15" s="10" t="s">
        <v>1</v>
      </c>
    </row>
    <row r="16" spans="1:18" s="2" customFormat="1" x14ac:dyDescent="0.25">
      <c r="A16" s="37" t="s">
        <v>26</v>
      </c>
      <c r="B16" s="37" t="s">
        <v>14</v>
      </c>
      <c r="C16" s="50">
        <v>555.22</v>
      </c>
      <c r="D16" s="37">
        <v>639</v>
      </c>
      <c r="E16" s="37">
        <v>639</v>
      </c>
      <c r="F16" s="36">
        <f>Table132[[#This Row],[New position]]-Table132[[#This Row],[Old position]]</f>
        <v>0</v>
      </c>
      <c r="G16" s="37">
        <f>ROUND(Table132[[#This Row],[Target allocation ($)]]/(IF(G56&gt;0, G48,G47)*C12)*100,3)</f>
        <v>0.52400000000000002</v>
      </c>
      <c r="H16" s="43">
        <f>Table132[[#This Row],[New position]]*Table132[[#This Row],[Last_Price]]</f>
        <v>354785.58</v>
      </c>
      <c r="I16" s="30"/>
      <c r="J16"/>
      <c r="L16"/>
      <c r="M16"/>
      <c r="N16"/>
      <c r="O16"/>
      <c r="P16"/>
      <c r="Q16"/>
      <c r="R16"/>
    </row>
    <row r="17" spans="1:18" x14ac:dyDescent="0.25">
      <c r="A17" s="37" t="s">
        <v>27</v>
      </c>
      <c r="B17" s="37" t="s">
        <v>14</v>
      </c>
      <c r="C17" s="50">
        <v>112.92</v>
      </c>
      <c r="D17" s="37">
        <v>3304</v>
      </c>
      <c r="E17" s="37">
        <v>3304</v>
      </c>
      <c r="F17" s="36">
        <f>Table132[[#This Row],[New position]]-Table132[[#This Row],[Old position]]</f>
        <v>0</v>
      </c>
      <c r="G17" s="37">
        <f>ROUND(Table132[[#This Row],[Target allocation ($)]]/(IF(G56&gt;0, G48,G47)*C12)*100,3)</f>
        <v>0.55100000000000005</v>
      </c>
      <c r="H17" s="43">
        <f>Table132[[#This Row],[New position]]*Table132[[#This Row],[Last_Price]]</f>
        <v>373087.68</v>
      </c>
      <c r="I17" s="30"/>
      <c r="L17"/>
      <c r="M17"/>
      <c r="N17"/>
      <c r="O17"/>
      <c r="P17"/>
      <c r="Q17"/>
      <c r="R17"/>
    </row>
    <row r="18" spans="1:18" x14ac:dyDescent="0.25">
      <c r="A18" s="37" t="s">
        <v>24</v>
      </c>
      <c r="B18" s="37" t="s">
        <v>14</v>
      </c>
      <c r="C18" s="50">
        <v>108.63</v>
      </c>
      <c r="D18" s="37">
        <v>3296</v>
      </c>
      <c r="E18" s="37">
        <v>3296</v>
      </c>
      <c r="F18" s="36">
        <f>Table132[[#This Row],[New position]]-Table132[[#This Row],[Old position]]</f>
        <v>0</v>
      </c>
      <c r="G18" s="37">
        <f>ROUND(Table132[[#This Row],[Target allocation ($)]]/(IF(G56&gt;0, G48,G47)*C12)*100,3)</f>
        <v>0.52900000000000003</v>
      </c>
      <c r="H18" s="43">
        <f>Table132[[#This Row],[New position]]*Table132[[#This Row],[Last_Price]]</f>
        <v>358044.48</v>
      </c>
      <c r="I18" s="56"/>
      <c r="L18"/>
      <c r="M18"/>
      <c r="N18"/>
      <c r="O18"/>
      <c r="P18"/>
      <c r="Q18"/>
      <c r="R18"/>
    </row>
    <row r="19" spans="1:18" x14ac:dyDescent="0.25">
      <c r="A19" s="37" t="s">
        <v>35</v>
      </c>
      <c r="B19" s="37" t="s">
        <v>14</v>
      </c>
      <c r="C19" s="50">
        <v>455.36</v>
      </c>
      <c r="D19" s="37">
        <v>823</v>
      </c>
      <c r="E19" s="37">
        <v>823</v>
      </c>
      <c r="F19" s="36">
        <f>Table132[[#This Row],[New position]]-Table132[[#This Row],[Old position]]</f>
        <v>0</v>
      </c>
      <c r="G19" s="37">
        <f>ROUND(Table132[[#This Row],[Target allocation ($)]]/(IF(G56&gt;0, G48,G47)*C12)*100,3)</f>
        <v>0.55300000000000005</v>
      </c>
      <c r="H19" s="43">
        <f>Table132[[#This Row],[New position]]*Table132[[#This Row],[Last_Price]]</f>
        <v>374761.28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33</v>
      </c>
      <c r="B20" s="37" t="s">
        <v>14</v>
      </c>
      <c r="C20" s="50">
        <v>341.33</v>
      </c>
      <c r="D20" s="37">
        <v>1095</v>
      </c>
      <c r="E20" s="37">
        <v>1095</v>
      </c>
      <c r="F20" s="36">
        <f>Table132[[#This Row],[New position]]-Table132[[#This Row],[Old position]]</f>
        <v>0</v>
      </c>
      <c r="G20" s="37">
        <f>ROUND(Table132[[#This Row],[Target allocation ($)]]/(IF(G56&gt;0, G48,G47)*C12)*100,3)</f>
        <v>0.55200000000000005</v>
      </c>
      <c r="H20" s="43">
        <f>Table132[[#This Row],[New position]]*Table132[[#This Row],[Last_Price]]</f>
        <v>373756.35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25</v>
      </c>
      <c r="B21" s="37" t="s">
        <v>14</v>
      </c>
      <c r="C21" s="50">
        <v>243.02</v>
      </c>
      <c r="D21" s="37">
        <v>1489</v>
      </c>
      <c r="E21" s="37">
        <v>1489</v>
      </c>
      <c r="F21" s="36">
        <f>Table132[[#This Row],[New position]]-Table132[[#This Row],[Old position]]</f>
        <v>0</v>
      </c>
      <c r="G21" s="37">
        <f>ROUND(Table132[[#This Row],[Target allocation ($)]]/(IF(G56&gt;0, G48,G47)*C12)*100,3)</f>
        <v>0.53400000000000003</v>
      </c>
      <c r="H21" s="43">
        <f>Table132[[#This Row],[New position]]*Table132[[#This Row],[Last_Price]]</f>
        <v>361856.78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37</v>
      </c>
      <c r="B22" s="37" t="s">
        <v>14</v>
      </c>
      <c r="C22" s="50">
        <v>36.270000000000003</v>
      </c>
      <c r="D22" s="37">
        <v>7929</v>
      </c>
      <c r="E22" s="37">
        <v>7929</v>
      </c>
      <c r="F22" s="36">
        <f>Table132[[#This Row],[New position]]-Table132[[#This Row],[Old position]]</f>
        <v>0</v>
      </c>
      <c r="G22" s="37">
        <f>ROUND(Table132[[#This Row],[Target allocation ($)]]/(IF(G56&gt;0, G48,G47)*C12)*100,3)</f>
        <v>0.42499999999999999</v>
      </c>
      <c r="H22" s="43">
        <f>Table132[[#This Row],[New position]]*Table132[[#This Row],[Last_Price]]</f>
        <v>287584.83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38</v>
      </c>
      <c r="B23" s="37" t="s">
        <v>14</v>
      </c>
      <c r="C23" s="50">
        <v>41.22</v>
      </c>
      <c r="D23" s="37">
        <v>8614</v>
      </c>
      <c r="E23" s="37">
        <v>8614</v>
      </c>
      <c r="F23" s="36">
        <f>Table132[[#This Row],[New position]]-Table132[[#This Row],[Old position]]</f>
        <v>0</v>
      </c>
      <c r="G23" s="37">
        <f>ROUND(Table132[[#This Row],[Target allocation ($)]]/(IF(G56&gt;0, G48,G47)*C12)*100,3)</f>
        <v>0.52400000000000002</v>
      </c>
      <c r="H23" s="43">
        <f>Table132[[#This Row],[New position]]*Table132[[#This Row],[Last_Price]]</f>
        <v>355069.08</v>
      </c>
      <c r="I23" s="29"/>
      <c r="L23"/>
      <c r="M23"/>
      <c r="N23"/>
      <c r="O23"/>
      <c r="P23"/>
      <c r="Q23"/>
      <c r="R23"/>
    </row>
    <row r="24" spans="1:18" x14ac:dyDescent="0.25">
      <c r="A24" s="37" t="s">
        <v>40</v>
      </c>
      <c r="B24" s="37" t="s">
        <v>14</v>
      </c>
      <c r="C24" s="50">
        <v>213.46</v>
      </c>
      <c r="D24" s="37">
        <v>1734</v>
      </c>
      <c r="E24" s="37">
        <v>1734</v>
      </c>
      <c r="F24" s="36">
        <f>Table132[[#This Row],[New position]]-Table132[[#This Row],[Old position]]</f>
        <v>0</v>
      </c>
      <c r="G24" s="37">
        <f>ROUND(Table132[[#This Row],[Target allocation ($)]]/(IF(G56&gt;0, G48,G47)*C12)*100,3)</f>
        <v>0.54700000000000004</v>
      </c>
      <c r="H24" s="43">
        <f>Table132[[#This Row],[New position]]*Table132[[#This Row],[Last_Price]]</f>
        <v>370139.64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41</v>
      </c>
      <c r="B25" s="37" t="s">
        <v>14</v>
      </c>
      <c r="C25" s="50">
        <v>362.11</v>
      </c>
      <c r="D25" s="37">
        <v>1005</v>
      </c>
      <c r="E25" s="37">
        <v>1005</v>
      </c>
      <c r="F25" s="36">
        <f>Table132[[#This Row],[New position]]-Table132[[#This Row],[Old position]]</f>
        <v>0</v>
      </c>
      <c r="G25" s="37">
        <f>ROUND(Table132[[#This Row],[Target allocation ($)]]/(IF(G56&gt;0, G48,G47)*C12)*100,3)</f>
        <v>0.53700000000000003</v>
      </c>
      <c r="H25" s="43">
        <f>Table132[[#This Row],[New position]]*Table132[[#This Row],[Last_Price]]</f>
        <v>363920.55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42</v>
      </c>
      <c r="B26" s="37" t="s">
        <v>14</v>
      </c>
      <c r="C26" s="50">
        <v>185.15</v>
      </c>
      <c r="D26" s="37">
        <v>1962</v>
      </c>
      <c r="E26" s="37">
        <v>1962</v>
      </c>
      <c r="F26" s="36">
        <f>Table132[[#This Row],[New position]]-Table132[[#This Row],[Old position]]</f>
        <v>0</v>
      </c>
      <c r="G26" s="37">
        <f>ROUND(Table132[[#This Row],[Target allocation ($)]]/(IF(G56&gt;0, G48,G47)*C12)*100,3)</f>
        <v>0.53600000000000003</v>
      </c>
      <c r="H26" s="43">
        <f>Table132[[#This Row],[New position]]*Table132[[#This Row],[Last_Price]]</f>
        <v>363264.3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43</v>
      </c>
      <c r="B27" s="37" t="s">
        <v>14</v>
      </c>
      <c r="C27" s="50">
        <v>138.94999999999999</v>
      </c>
      <c r="D27" s="37">
        <v>2577</v>
      </c>
      <c r="E27" s="37">
        <v>2577</v>
      </c>
      <c r="F27" s="36">
        <f>Table132[[#This Row],[New position]]-Table132[[#This Row],[Old position]]</f>
        <v>0</v>
      </c>
      <c r="G27" s="37">
        <f>ROUND(Table132[[#This Row],[Target allocation ($)]]/(IF(G56&gt;0, G48,G47)*C12)*100,3)</f>
        <v>0.52900000000000003</v>
      </c>
      <c r="H27" s="43">
        <f>Table132[[#This Row],[New position]]*Table132[[#This Row],[Last_Price]]</f>
        <v>358074.14999999997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49</v>
      </c>
      <c r="B28" s="37" t="s">
        <v>14</v>
      </c>
      <c r="C28" s="50">
        <v>170.15</v>
      </c>
      <c r="D28" s="37">
        <v>2136</v>
      </c>
      <c r="E28" s="37">
        <v>2136</v>
      </c>
      <c r="F28" s="36">
        <f>Table132[[#This Row],[New position]]-Table132[[#This Row],[Old position]]</f>
        <v>0</v>
      </c>
      <c r="G28" s="37">
        <f>ROUND(Table132[[#This Row],[Target allocation ($)]]/(IF(G56&gt;0, G48,G47)*C12)*100,3)</f>
        <v>0.53700000000000003</v>
      </c>
      <c r="H28" s="43">
        <f>Table132[[#This Row],[New position]]*Table132[[#This Row],[Last_Price]]</f>
        <v>363440.4</v>
      </c>
      <c r="I28" s="29"/>
      <c r="L28"/>
      <c r="M28"/>
      <c r="N28"/>
      <c r="O28"/>
      <c r="P28"/>
      <c r="Q28"/>
      <c r="R28"/>
    </row>
    <row r="29" spans="1:18" x14ac:dyDescent="0.25">
      <c r="A29" s="37" t="s">
        <v>50</v>
      </c>
      <c r="B29" s="37" t="s">
        <v>14</v>
      </c>
      <c r="C29" s="50">
        <v>57.17</v>
      </c>
      <c r="D29" s="37">
        <v>6550</v>
      </c>
      <c r="E29" s="37">
        <v>6550</v>
      </c>
      <c r="F29" s="36">
        <f>Table132[[#This Row],[New position]]-Table132[[#This Row],[Old position]]</f>
        <v>0</v>
      </c>
      <c r="G29" s="37">
        <f>ROUND(Table132[[#This Row],[Target allocation ($)]]/(IF(G56&gt;0, G48,G47)*C12)*100,3)</f>
        <v>0.55300000000000005</v>
      </c>
      <c r="H29" s="43">
        <f>Table132[[#This Row],[New position]]*Table132[[#This Row],[Last_Price]]</f>
        <v>374463.5</v>
      </c>
      <c r="I29" s="53"/>
      <c r="M29"/>
      <c r="N29"/>
      <c r="O29"/>
      <c r="P29"/>
      <c r="Q29"/>
      <c r="R29"/>
    </row>
    <row r="30" spans="1:18" x14ac:dyDescent="0.25">
      <c r="A30" s="37" t="s">
        <v>51</v>
      </c>
      <c r="B30" s="37" t="s">
        <v>14</v>
      </c>
      <c r="C30" s="50">
        <v>124.36</v>
      </c>
      <c r="D30" s="37">
        <v>3154</v>
      </c>
      <c r="E30" s="37">
        <v>3154</v>
      </c>
      <c r="F30" s="36">
        <f>Table132[[#This Row],[New position]]-Table132[[#This Row],[Old position]]</f>
        <v>0</v>
      </c>
      <c r="G30" s="37">
        <f>ROUND(Table132[[#This Row],[Target allocation ($)]]/(IF(G56&gt;0, G48,G47)*C12)*100,3)</f>
        <v>0.57899999999999996</v>
      </c>
      <c r="H30" s="43">
        <f>Table132[[#This Row],[New position]]*Table132[[#This Row],[Last_Price]]</f>
        <v>392231.44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52</v>
      </c>
      <c r="B31" s="37" t="s">
        <v>14</v>
      </c>
      <c r="C31" s="50">
        <v>212.81</v>
      </c>
      <c r="D31" s="37">
        <v>1708</v>
      </c>
      <c r="E31" s="37">
        <v>1708</v>
      </c>
      <c r="F31" s="36">
        <f>Table132[[#This Row],[New position]]-Table132[[#This Row],[Old position]]</f>
        <v>0</v>
      </c>
      <c r="G31" s="37">
        <f>ROUND(Table132[[#This Row],[Target allocation ($)]]/(IF(G56&gt;0, G48,G47)*C12)*100,3)</f>
        <v>0.53700000000000003</v>
      </c>
      <c r="H31" s="43">
        <f>Table132[[#This Row],[New position]]*Table132[[#This Row],[Last_Price]]</f>
        <v>363479.48</v>
      </c>
      <c r="I31" s="28"/>
      <c r="L31"/>
      <c r="M31"/>
      <c r="N31"/>
      <c r="O31"/>
      <c r="P31"/>
      <c r="Q31"/>
      <c r="R31"/>
    </row>
    <row r="32" spans="1:18" x14ac:dyDescent="0.25">
      <c r="A32" s="37" t="s">
        <v>53</v>
      </c>
      <c r="B32" s="37" t="s">
        <v>14</v>
      </c>
      <c r="C32" s="50">
        <v>1942.2</v>
      </c>
      <c r="D32" s="37">
        <v>204</v>
      </c>
      <c r="E32" s="37">
        <v>204</v>
      </c>
      <c r="F32" s="36">
        <f>Table132[[#This Row],[New position]]-Table132[[#This Row],[Old position]]</f>
        <v>0</v>
      </c>
      <c r="G32" s="37">
        <f>ROUND(Table132[[#This Row],[Target allocation ($)]]/(IF(G56&gt;0, G48,G47)*C12)*100,3)</f>
        <v>0.58499999999999996</v>
      </c>
      <c r="H32" s="43">
        <f>Table132[[#This Row],[New position]]*Table132[[#This Row],[Last_Price]]</f>
        <v>396208.8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11</v>
      </c>
      <c r="B33" s="37" t="s">
        <v>14</v>
      </c>
      <c r="C33" s="50">
        <v>349.86</v>
      </c>
      <c r="D33" s="37">
        <v>168508</v>
      </c>
      <c r="E33" s="37">
        <v>168508</v>
      </c>
      <c r="F33" s="36">
        <f>Table132[[#This Row],[New position]]-Table132[[#This Row],[Old position]]</f>
        <v>0</v>
      </c>
      <c r="G33" s="37">
        <f>ROUND(Table132[[#This Row],[Target allocation ($)]]/(IF(G56&gt;0, G48,G47)*C12)*100,3)</f>
        <v>87.048000000000002</v>
      </c>
      <c r="H33" s="43">
        <f>Table132[[#This Row],[New position]]*Table132[[#This Row],[Last_Price]]</f>
        <v>58954208.880000003</v>
      </c>
      <c r="I33" s="30"/>
      <c r="L33"/>
      <c r="M33"/>
      <c r="N33"/>
      <c r="O33"/>
      <c r="P33"/>
      <c r="Q33"/>
      <c r="R33"/>
    </row>
    <row r="34" spans="1:18" x14ac:dyDescent="0.25">
      <c r="A34" s="37" t="s">
        <v>46</v>
      </c>
      <c r="B34" s="37" t="s">
        <v>14</v>
      </c>
      <c r="C34" s="50">
        <v>46.3</v>
      </c>
      <c r="D34" s="37">
        <v>7198</v>
      </c>
      <c r="E34" s="37">
        <v>7198</v>
      </c>
      <c r="F34" s="36">
        <f>Table132[[#This Row],[New position]]-Table132[[#This Row],[Old position]]</f>
        <v>0</v>
      </c>
      <c r="G34" s="37">
        <f>ROUND(Table132[[#This Row],[Target allocation ($)]]/(IF(G56&gt;0, G48,G47)*C12)*100,3)</f>
        <v>0.49199999999999999</v>
      </c>
      <c r="H34" s="43">
        <f>Table132[[#This Row],[New position]]*Table132[[#This Row],[Last_Price]]</f>
        <v>333267.39999999997</v>
      </c>
      <c r="I34" s="30"/>
      <c r="L34"/>
      <c r="M34"/>
      <c r="N34"/>
      <c r="O34"/>
      <c r="P34"/>
      <c r="Q34"/>
      <c r="R34"/>
    </row>
    <row r="35" spans="1:18" x14ac:dyDescent="0.25">
      <c r="A35" s="37" t="s">
        <v>47</v>
      </c>
      <c r="B35" s="37" t="s">
        <v>14</v>
      </c>
      <c r="C35" s="50">
        <v>14.98</v>
      </c>
      <c r="D35" s="37">
        <v>19970</v>
      </c>
      <c r="E35" s="37">
        <v>19970</v>
      </c>
      <c r="F35" s="36">
        <f>Table132[[#This Row],[New position]]-Table132[[#This Row],[Old position]]</f>
        <v>0</v>
      </c>
      <c r="G35" s="37">
        <f>ROUND(Table132[[#This Row],[Target allocation ($)]]/(IF(G56&gt;0, G48,G47)*C12)*100,3)</f>
        <v>0.442</v>
      </c>
      <c r="H35" s="43">
        <f>Table132[[#This Row],[New position]]*Table132[[#This Row],[Last_Price]]</f>
        <v>299150.60000000003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48</v>
      </c>
      <c r="B36" s="37" t="s">
        <v>14</v>
      </c>
      <c r="C36" s="50">
        <v>21.63</v>
      </c>
      <c r="D36" s="37">
        <v>13967</v>
      </c>
      <c r="E36" s="37">
        <v>13967</v>
      </c>
      <c r="F36" s="36">
        <f>Table132[[#This Row],[New position]]-Table132[[#This Row],[Old position]]</f>
        <v>0</v>
      </c>
      <c r="G36" s="37">
        <f>ROUND(Table132[[#This Row],[Target allocation ($)]]/(IF(G56&gt;0, G48,G47)*C12)*100,3)</f>
        <v>0.44600000000000001</v>
      </c>
      <c r="H36" s="43">
        <f>Table132[[#This Row],[New position]]*Table132[[#This Row],[Last_Price]]</f>
        <v>302106.20999999996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54</v>
      </c>
      <c r="B37" s="37" t="s">
        <v>14</v>
      </c>
      <c r="C37" s="50">
        <v>74.17</v>
      </c>
      <c r="D37" s="37">
        <v>2859</v>
      </c>
      <c r="E37" s="37">
        <v>2859</v>
      </c>
      <c r="F37" s="36">
        <f>Table132[[#This Row],[New position]]-Table132[[#This Row],[Old position]]</f>
        <v>0</v>
      </c>
      <c r="G37" s="37">
        <f>ROUND(Table132[[#This Row],[Target allocation ($)]]/(IF(G56&gt;0, G48,G47)*C12)*100,3)</f>
        <v>0.313</v>
      </c>
      <c r="H37" s="43">
        <f>Table132[[#This Row],[New position]]*Table132[[#This Row],[Last_Price]]</f>
        <v>212052.03</v>
      </c>
      <c r="I37" s="30"/>
      <c r="J37" s="26"/>
      <c r="L37"/>
      <c r="M37"/>
      <c r="N37"/>
      <c r="O37"/>
      <c r="P37"/>
      <c r="Q37"/>
      <c r="R37"/>
    </row>
    <row r="38" spans="1:18" x14ac:dyDescent="0.25">
      <c r="A38" s="37" t="s">
        <v>55</v>
      </c>
      <c r="B38" s="37" t="s">
        <v>14</v>
      </c>
      <c r="C38" s="50">
        <v>64.7</v>
      </c>
      <c r="D38" s="37">
        <v>3189</v>
      </c>
      <c r="E38" s="37">
        <v>3189</v>
      </c>
      <c r="F38" s="36">
        <f>Table132[[#This Row],[New position]]-Table132[[#This Row],[Old position]]</f>
        <v>0</v>
      </c>
      <c r="G38" s="37">
        <f>ROUND(Table132[[#This Row],[Target allocation ($)]]/(IF(G56&gt;0, G48,G47)*C12)*100,3)</f>
        <v>0.30499999999999999</v>
      </c>
      <c r="H38" s="43">
        <f>Table132[[#This Row],[New position]]*Table132[[#This Row],[Last_Price]]</f>
        <v>206328.30000000002</v>
      </c>
      <c r="I38" s="30"/>
      <c r="L38"/>
      <c r="M38"/>
      <c r="N38"/>
      <c r="O38"/>
      <c r="P38"/>
      <c r="Q38"/>
      <c r="R38"/>
    </row>
    <row r="39" spans="1:18" x14ac:dyDescent="0.25">
      <c r="A39" s="37" t="s">
        <v>57</v>
      </c>
      <c r="B39" s="37" t="s">
        <v>14</v>
      </c>
      <c r="C39" s="50">
        <v>83.23</v>
      </c>
      <c r="D39" s="37">
        <v>1782</v>
      </c>
      <c r="E39" s="37">
        <v>1940</v>
      </c>
      <c r="F39" s="36">
        <f>Table132[[#This Row],[New position]]-Table132[[#This Row],[Old position]]</f>
        <v>158</v>
      </c>
      <c r="G39" s="37">
        <f>ROUND(Table132[[#This Row],[Target allocation ($)]]/(IF(G56&gt;0, G48,G47)*C12)*100,3)</f>
        <v>0.23799999999999999</v>
      </c>
      <c r="H39" s="43">
        <f>Table132[[#This Row],[New position]]*Table132[[#This Row],[Last_Price]]</f>
        <v>161466.20000000001</v>
      </c>
      <c r="I39" s="30"/>
      <c r="L39"/>
      <c r="M39"/>
      <c r="N39"/>
      <c r="O39"/>
      <c r="P39"/>
      <c r="Q39"/>
      <c r="R39"/>
    </row>
    <row r="40" spans="1:18" x14ac:dyDescent="0.25">
      <c r="A40" s="37" t="s">
        <v>58</v>
      </c>
      <c r="B40" s="37" t="s">
        <v>14</v>
      </c>
      <c r="C40" s="50">
        <v>3.98</v>
      </c>
      <c r="D40" s="37">
        <v>36899</v>
      </c>
      <c r="E40" s="37">
        <v>40571</v>
      </c>
      <c r="F40" s="36">
        <f>Table132[[#This Row],[New position]]-Table132[[#This Row],[Old position]]</f>
        <v>3672</v>
      </c>
      <c r="G40" s="37">
        <f>ROUND(Table132[[#This Row],[Target allocation ($)]]/(IF(G56&gt;0, G48,G47)*C12)*100,3)</f>
        <v>0.23799999999999999</v>
      </c>
      <c r="H40" s="43">
        <f>Table132[[#This Row],[New position]]*Table132[[#This Row],[Last_Price]]</f>
        <v>161472.57999999999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44</v>
      </c>
      <c r="B41" s="37" t="s">
        <v>14</v>
      </c>
      <c r="C41" s="50">
        <v>37.56</v>
      </c>
      <c r="D41" s="37">
        <v>11153</v>
      </c>
      <c r="E41" s="37">
        <v>11153</v>
      </c>
      <c r="F41" s="36">
        <f>Table132[[#This Row],[New position]]-Table132[[#This Row],[Old position]]</f>
        <v>0</v>
      </c>
      <c r="G41" s="37">
        <f>ROUND(Table132[[#This Row],[Target allocation ($)]]/(IF(G56&gt;0, G48,G47)*C12)*100,3)</f>
        <v>0.61899999999999999</v>
      </c>
      <c r="H41" s="43">
        <f>Table132[[#This Row],[New position]]*Table132[[#This Row],[Last_Price]]</f>
        <v>418906.68000000005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56</v>
      </c>
      <c r="B42" s="37" t="s">
        <v>14</v>
      </c>
      <c r="C42" s="50">
        <v>33.4</v>
      </c>
      <c r="D42" s="37">
        <v>14761</v>
      </c>
      <c r="E42" s="37">
        <v>14761</v>
      </c>
      <c r="F42" s="36">
        <f>Table132[[#This Row],[New position]]-Table132[[#This Row],[Old position]]</f>
        <v>0</v>
      </c>
      <c r="G42" s="37">
        <f>ROUND(Table132[[#This Row],[Target allocation ($)]]/(IF(G56&gt;0, G48,G47)*C12)*100,3)</f>
        <v>0.72799999999999998</v>
      </c>
      <c r="H42" s="43">
        <f>Table132[[#This Row],[New position]]*Table132[[#This Row],[Last_Price]]</f>
        <v>493017.39999999997</v>
      </c>
      <c r="I42" s="31"/>
      <c r="L42"/>
      <c r="M42"/>
      <c r="N42"/>
      <c r="O42"/>
      <c r="P42"/>
      <c r="Q42"/>
      <c r="R42"/>
    </row>
    <row r="43" spans="1:18" x14ac:dyDescent="0.25">
      <c r="A43" s="48"/>
      <c r="B43" s="48"/>
      <c r="C43" s="49"/>
      <c r="D43" s="38"/>
      <c r="E43" s="39"/>
      <c r="F43" s="34"/>
      <c r="G43" s="37"/>
      <c r="H43" s="50"/>
      <c r="I43" s="57"/>
      <c r="L43" s="54"/>
      <c r="M43"/>
      <c r="N43"/>
      <c r="O43"/>
      <c r="P43"/>
      <c r="Q43"/>
      <c r="R43"/>
    </row>
    <row r="44" spans="1:18" x14ac:dyDescent="0.25">
      <c r="A44" s="48"/>
      <c r="B44" s="48"/>
      <c r="C44" s="49"/>
      <c r="D44" s="38"/>
      <c r="E44" s="39"/>
      <c r="F44" s="34"/>
      <c r="G44" s="37"/>
      <c r="H44" s="50"/>
      <c r="I44" s="57"/>
      <c r="L44" s="54"/>
      <c r="M44"/>
      <c r="N44"/>
      <c r="O44"/>
      <c r="P44"/>
      <c r="Q44"/>
      <c r="R44"/>
    </row>
    <row r="45" spans="1:18" x14ac:dyDescent="0.25">
      <c r="A45" s="48"/>
      <c r="B45" s="48"/>
      <c r="C45" s="49"/>
      <c r="D45" s="38"/>
      <c r="E45" s="39"/>
      <c r="F45" s="34"/>
      <c r="G45" s="37"/>
      <c r="H45" s="50"/>
      <c r="I45" s="57"/>
      <c r="L45" s="54"/>
      <c r="M45"/>
      <c r="N45"/>
      <c r="O45"/>
      <c r="P45"/>
      <c r="Q45"/>
      <c r="R45"/>
    </row>
    <row r="46" spans="1:18" x14ac:dyDescent="0.25">
      <c r="A46" s="48"/>
      <c r="B46" s="48"/>
      <c r="C46" s="49"/>
      <c r="D46" s="38"/>
      <c r="E46" s="39"/>
      <c r="F46" s="34"/>
      <c r="G46" s="37"/>
      <c r="H46" s="50"/>
      <c r="I46" s="52"/>
      <c r="L46"/>
      <c r="M46"/>
      <c r="N46"/>
      <c r="O46"/>
      <c r="P46"/>
      <c r="Q46"/>
      <c r="R46"/>
    </row>
    <row r="47" spans="1:18" ht="45" x14ac:dyDescent="0.25">
      <c r="A47" s="48" t="s">
        <v>45</v>
      </c>
      <c r="B47" s="48"/>
      <c r="C47" s="49"/>
      <c r="D47" s="38"/>
      <c r="E47" s="39"/>
      <c r="F47" s="34"/>
      <c r="G47" s="37">
        <f xml:space="preserve"> IF(G56&gt;0, (C13+ABS(G56*G48))/C9, C13/C9)</f>
        <v>2.1752795231109872</v>
      </c>
      <c r="H47" s="50"/>
      <c r="I47" s="52"/>
      <c r="L47"/>
      <c r="M47"/>
      <c r="N47"/>
      <c r="O47"/>
      <c r="P47"/>
      <c r="Q47"/>
      <c r="R47"/>
    </row>
    <row r="48" spans="1:18" ht="30" x14ac:dyDescent="0.25">
      <c r="A48" s="48" t="s">
        <v>39</v>
      </c>
      <c r="B48" s="48"/>
      <c r="C48" s="49"/>
      <c r="D48" s="38"/>
      <c r="E48" s="39"/>
      <c r="F48" s="34"/>
      <c r="G48" s="37">
        <v>2.0745260000000001</v>
      </c>
      <c r="H48" s="50"/>
      <c r="I48" s="52"/>
      <c r="L48"/>
      <c r="M48"/>
      <c r="N48"/>
      <c r="O48"/>
      <c r="P48"/>
      <c r="Q48"/>
      <c r="R48"/>
    </row>
    <row r="49" spans="1:18" x14ac:dyDescent="0.25">
      <c r="A49" s="37" t="s">
        <v>59</v>
      </c>
      <c r="B49" s="37"/>
      <c r="C49" s="37"/>
      <c r="D49" s="37"/>
      <c r="E49" s="66">
        <f>ROUND(SUM(G16:G32)/100, 3)</f>
        <v>9.0999999999999998E-2</v>
      </c>
      <c r="F49" s="51" t="str">
        <f>Table132[[#This Row],[Symbol]]</f>
        <v>SingleStocks</v>
      </c>
      <c r="G49" s="55">
        <f>SUM(H16:H32)/(G48*C12)</f>
        <v>9.5746109827222439E-2</v>
      </c>
      <c r="H49" s="37"/>
      <c r="I49" s="30"/>
      <c r="L49"/>
      <c r="M49"/>
      <c r="N49"/>
      <c r="O49"/>
      <c r="P49"/>
      <c r="Q49"/>
      <c r="R49"/>
    </row>
    <row r="50" spans="1:18" x14ac:dyDescent="0.25">
      <c r="A50" s="48" t="s">
        <v>11</v>
      </c>
      <c r="B50" s="48"/>
      <c r="C50" s="49"/>
      <c r="D50" s="38"/>
      <c r="E50" s="67">
        <f>ROUND(SUM(G33)/100, 3)</f>
        <v>0.87</v>
      </c>
      <c r="F50" s="51" t="str">
        <f>Table132[[#This Row],[Symbol]]</f>
        <v>QQQ</v>
      </c>
      <c r="G50" s="55">
        <f>SUM(H33)/(G48*C12)</f>
        <v>0.91275590606846413</v>
      </c>
      <c r="H50" s="50"/>
      <c r="I50" s="30"/>
      <c r="L50"/>
      <c r="M50"/>
      <c r="N50"/>
      <c r="O50"/>
      <c r="P50"/>
      <c r="Q50"/>
      <c r="R50"/>
    </row>
    <row r="51" spans="1:18" x14ac:dyDescent="0.25">
      <c r="A51" s="37" t="s">
        <v>31</v>
      </c>
      <c r="B51" s="48"/>
      <c r="C51" s="49"/>
      <c r="D51" s="38"/>
      <c r="E51" s="67">
        <f>ROUND(SUM(G37:G40)/100, 3)</f>
        <v>1.0999999999999999E-2</v>
      </c>
      <c r="F51" s="51" t="str">
        <f>Table132[[#This Row],[Symbol]]</f>
        <v>Bonds</v>
      </c>
      <c r="G51" s="55">
        <f>SUM(H37:H40)/(G48*C12)</f>
        <v>1.1477440012997378E-2</v>
      </c>
      <c r="H51" s="50"/>
      <c r="I51" s="30"/>
      <c r="L51"/>
      <c r="M51"/>
      <c r="N51"/>
      <c r="O51"/>
      <c r="P51"/>
      <c r="Q51"/>
      <c r="R51"/>
    </row>
    <row r="52" spans="1:18" x14ac:dyDescent="0.25">
      <c r="A52" s="48" t="s">
        <v>61</v>
      </c>
      <c r="B52" s="37"/>
      <c r="C52" s="37"/>
      <c r="D52" s="37"/>
      <c r="E52" s="66">
        <f>ROUND(SUM(G41)/100,3)</f>
        <v>6.0000000000000001E-3</v>
      </c>
      <c r="F52" s="51" t="str">
        <f>Table132[[#This Row],[Symbol]]</f>
        <v>Gold</v>
      </c>
      <c r="G52" s="55">
        <f>SUM(H41)/(G48*C12)</f>
        <v>6.4857039645772642E-3</v>
      </c>
      <c r="H52" s="37"/>
      <c r="I52" s="31"/>
      <c r="L52"/>
      <c r="M52"/>
      <c r="N52"/>
      <c r="O52"/>
      <c r="P52"/>
      <c r="Q52"/>
      <c r="R52"/>
    </row>
    <row r="53" spans="1:18" ht="15" customHeight="1" x14ac:dyDescent="0.25">
      <c r="A53" s="37" t="s">
        <v>32</v>
      </c>
      <c r="B53" s="37"/>
      <c r="C53" s="37"/>
      <c r="D53" s="37"/>
      <c r="E53" s="66">
        <f>ROUND(SUM(G34:G36)/100,3)</f>
        <v>1.4E-2</v>
      </c>
      <c r="F53" s="51" t="str">
        <f>Table132[[#This Row],[Symbol]]</f>
        <v>Commodities</v>
      </c>
      <c r="G53" s="55">
        <f>0/(G48*C12)</f>
        <v>0</v>
      </c>
      <c r="H53" s="37"/>
      <c r="I53" s="32"/>
      <c r="L53"/>
      <c r="M53"/>
      <c r="N53"/>
      <c r="O53"/>
      <c r="P53"/>
      <c r="Q53"/>
      <c r="R53"/>
    </row>
    <row r="54" spans="1:18" x14ac:dyDescent="0.25">
      <c r="A54" s="62" t="s">
        <v>60</v>
      </c>
      <c r="B54" s="62"/>
      <c r="C54" s="63"/>
      <c r="D54" s="38"/>
      <c r="E54" s="67">
        <f>ROUND(SUM(G42)/100,3)</f>
        <v>7.0000000000000001E-3</v>
      </c>
      <c r="F54" s="51" t="str">
        <f>Table132[[#This Row],[Symbol]]</f>
        <v>Crypto</v>
      </c>
      <c r="G54" s="65">
        <f>SUM(H42)/(G48*C12)</f>
        <v>7.6331198771658988E-3</v>
      </c>
      <c r="H54" s="50"/>
      <c r="I54" s="64"/>
      <c r="L54"/>
      <c r="M54"/>
      <c r="N54"/>
      <c r="O54"/>
      <c r="P54"/>
      <c r="Q54"/>
      <c r="R54"/>
    </row>
    <row r="55" spans="1:18" x14ac:dyDescent="0.25">
      <c r="A55" s="37" t="s">
        <v>23</v>
      </c>
      <c r="B55" s="37"/>
      <c r="C55" s="37"/>
      <c r="D55" s="37"/>
      <c r="E55" s="27">
        <f>1-SUM(E49:E54)</f>
        <v>1.0000000000000009E-3</v>
      </c>
      <c r="F55" s="51" t="str">
        <f>Table132[[#This Row],[Symbol]]</f>
        <v>Cash</v>
      </c>
      <c r="G55" s="55">
        <f>1-SUM(G49:G53)</f>
        <v>-2.6465159873261257E-2</v>
      </c>
      <c r="H55" s="37"/>
      <c r="I55" s="30"/>
      <c r="L55"/>
      <c r="M55"/>
      <c r="N55"/>
      <c r="O55"/>
      <c r="P55"/>
      <c r="Q55"/>
      <c r="R55"/>
    </row>
    <row r="56" spans="1:18" x14ac:dyDescent="0.25">
      <c r="A56" s="27" t="s">
        <v>34</v>
      </c>
      <c r="B56" s="27"/>
      <c r="C56" s="35"/>
      <c r="D56" s="27"/>
      <c r="E56" s="27">
        <f>C12*E55</f>
        <v>31134.456000000027</v>
      </c>
      <c r="F56" s="34"/>
      <c r="G56" s="37">
        <f>C12*G55</f>
        <v>-823978.35560701822</v>
      </c>
      <c r="H56" s="43"/>
      <c r="I56" s="33"/>
      <c r="L56"/>
      <c r="M56"/>
      <c r="N56"/>
      <c r="O56"/>
      <c r="P56"/>
      <c r="Q56"/>
      <c r="R56"/>
    </row>
    <row r="57" spans="1:18" x14ac:dyDescent="0.25">
      <c r="A57" s="27"/>
      <c r="B57" s="27"/>
      <c r="C57" s="35"/>
      <c r="D57" s="27"/>
      <c r="E57" s="27"/>
      <c r="F57" s="27"/>
      <c r="G57" s="37"/>
      <c r="H57" s="43"/>
      <c r="I57" s="30"/>
      <c r="L57"/>
      <c r="M57"/>
      <c r="N57"/>
      <c r="O57"/>
      <c r="P57"/>
      <c r="Q57"/>
      <c r="R57"/>
    </row>
    <row r="58" spans="1:18" x14ac:dyDescent="0.25">
      <c r="A58" s="27"/>
      <c r="B58" s="27"/>
      <c r="C58" s="35"/>
      <c r="D58" s="27"/>
      <c r="E58" s="27"/>
      <c r="F58" s="34"/>
      <c r="G58" s="37"/>
      <c r="H58" s="43"/>
      <c r="I58" s="30"/>
      <c r="L58"/>
      <c r="M58"/>
      <c r="N58"/>
      <c r="O58"/>
      <c r="P58"/>
      <c r="Q58"/>
      <c r="R58"/>
    </row>
    <row r="59" spans="1:18" x14ac:dyDescent="0.25">
      <c r="A59" s="27"/>
      <c r="B59" s="27"/>
      <c r="C59" s="35"/>
      <c r="D59" s="27"/>
      <c r="E59" s="27"/>
      <c r="F59" s="34"/>
      <c r="G59" s="37"/>
      <c r="H59" s="43"/>
      <c r="I59" s="30"/>
      <c r="L59"/>
      <c r="M59"/>
      <c r="N59"/>
      <c r="O59"/>
      <c r="P59"/>
      <c r="Q59"/>
      <c r="R59"/>
    </row>
    <row r="60" spans="1:18" x14ac:dyDescent="0.25">
      <c r="A60" s="21"/>
      <c r="B60" s="5" t="s">
        <v>21</v>
      </c>
      <c r="D60" s="1"/>
      <c r="E60" s="5" t="s">
        <v>20</v>
      </c>
      <c r="F60" s="1"/>
      <c r="G60" s="5"/>
      <c r="H60" s="44" t="s">
        <v>2</v>
      </c>
      <c r="I60" s="4"/>
      <c r="L60"/>
      <c r="M60"/>
      <c r="N60"/>
      <c r="O60"/>
      <c r="P60"/>
      <c r="Q60"/>
      <c r="R60"/>
    </row>
    <row r="61" spans="1:18" x14ac:dyDescent="0.25">
      <c r="B61" s="5" t="s">
        <v>28</v>
      </c>
      <c r="D61" s="1"/>
      <c r="E61" s="5" t="s">
        <v>28</v>
      </c>
      <c r="F61" s="1"/>
      <c r="G61" s="5"/>
      <c r="H61" s="44" t="s">
        <v>3</v>
      </c>
      <c r="L61"/>
      <c r="M61"/>
      <c r="N61"/>
      <c r="O61"/>
      <c r="P61"/>
      <c r="Q61"/>
      <c r="R61"/>
    </row>
    <row r="62" spans="1:18" x14ac:dyDescent="0.25">
      <c r="B62" s="3"/>
      <c r="C62"/>
      <c r="D62" s="1"/>
      <c r="E62" s="3"/>
      <c r="F62" s="20"/>
      <c r="G62" s="3"/>
      <c r="H62" s="45"/>
      <c r="L62"/>
      <c r="M62"/>
      <c r="N62"/>
      <c r="O62"/>
      <c r="P62"/>
      <c r="Q62"/>
      <c r="R62"/>
    </row>
    <row r="63" spans="1:18" x14ac:dyDescent="0.25">
      <c r="C63"/>
      <c r="L63"/>
      <c r="M63"/>
      <c r="N63"/>
      <c r="O63"/>
      <c r="P63"/>
      <c r="Q63"/>
      <c r="R63"/>
    </row>
    <row r="64" spans="1:18" x14ac:dyDescent="0.25"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  <row r="66" spans="12:18" x14ac:dyDescent="0.25">
      <c r="L66"/>
      <c r="M66"/>
      <c r="N66"/>
      <c r="O66"/>
      <c r="P66"/>
      <c r="Q66"/>
      <c r="R66"/>
    </row>
    <row r="67" spans="12:18" x14ac:dyDescent="0.25">
      <c r="L67"/>
      <c r="M67"/>
      <c r="N67"/>
      <c r="O67"/>
      <c r="P67"/>
      <c r="Q67"/>
      <c r="R67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6:B6"/>
    <mergeCell ref="A7:B7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2023-11-01T10:43:44Z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