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655" documentId="14_{A48F4B07-3EF3-43E5-91B2-4CA340E6013A}" xr6:coauthVersionLast="47" xr6:coauthVersionMax="47" xr10:uidLastSave="{2F170F08-0FCC-44ED-87F5-33E80584623A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" i="3" l="1"/>
  <c r="F63" i="3"/>
  <c r="F29" i="3" l="1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3" i="3" l="1"/>
  <c r="F34" i="3"/>
  <c r="F35" i="3"/>
  <c r="F36" i="3"/>
  <c r="F37" i="3"/>
  <c r="F38" i="3"/>
  <c r="F39" i="3"/>
  <c r="F40" i="3"/>
  <c r="E77" i="3"/>
  <c r="E75" i="3"/>
  <c r="H39" i="3"/>
  <c r="H40" i="3"/>
  <c r="H33" i="3" l="1"/>
  <c r="H34" i="3"/>
  <c r="H29" i="3"/>
  <c r="F73" i="3"/>
  <c r="H37" i="3" l="1"/>
  <c r="H38" i="3"/>
  <c r="H30" i="3"/>
  <c r="F75" i="3"/>
  <c r="H36" i="3"/>
  <c r="D80" i="3"/>
  <c r="D79" i="3"/>
  <c r="D78" i="3"/>
  <c r="D77" i="3"/>
  <c r="D76" i="3"/>
  <c r="D74" i="3"/>
  <c r="D72" i="3"/>
  <c r="H32" i="3" l="1"/>
  <c r="H31" i="3"/>
  <c r="H28" i="3" l="1"/>
  <c r="H27" i="3"/>
  <c r="H26" i="3"/>
  <c r="F80" i="3"/>
  <c r="F78" i="3"/>
  <c r="F79" i="3"/>
  <c r="F72" i="3"/>
  <c r="F74" i="3"/>
  <c r="F76" i="3"/>
  <c r="F77" i="3"/>
  <c r="H35" i="3"/>
  <c r="H18" i="3" l="1"/>
  <c r="H19" i="3"/>
  <c r="H20" i="3"/>
  <c r="H21" i="3"/>
  <c r="H22" i="3"/>
  <c r="H23" i="3"/>
  <c r="H24" i="3"/>
  <c r="H25" i="3"/>
  <c r="C15" i="3" l="1" a="1"/>
  <c r="C15" i="3" s="1"/>
  <c r="F28" i="3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C5" i="3" l="1"/>
  <c r="C7" i="3"/>
  <c r="C8" i="3"/>
  <c r="G78" i="3"/>
  <c r="C10" i="3"/>
  <c r="G73" i="3"/>
  <c r="C4" i="3"/>
  <c r="G79" i="3"/>
  <c r="G76" i="3"/>
  <c r="C3" i="3"/>
  <c r="G72" i="3"/>
  <c r="G75" i="3" s="1"/>
  <c r="G74" i="3"/>
  <c r="C2" i="3"/>
  <c r="G77" i="3"/>
  <c r="C6" i="3"/>
  <c r="C9" i="3"/>
  <c r="G80" i="3" l="1"/>
  <c r="G81" i="3" s="1"/>
  <c r="G49" i="3" s="1"/>
  <c r="G48" i="3" l="1"/>
  <c r="G62" i="3"/>
  <c r="G63" i="3"/>
  <c r="E71" i="3"/>
  <c r="G50" i="3" s="1"/>
  <c r="E79" i="3" l="1"/>
  <c r="G58" i="3"/>
  <c r="G54" i="3"/>
  <c r="G59" i="3"/>
  <c r="G40" i="3"/>
  <c r="G57" i="3"/>
  <c r="G41" i="3"/>
  <c r="G42" i="3"/>
  <c r="G33" i="3"/>
  <c r="G38" i="3"/>
  <c r="G46" i="3"/>
  <c r="G29" i="3"/>
  <c r="G44" i="3"/>
  <c r="G52" i="3"/>
  <c r="G39" i="3"/>
  <c r="G53" i="3"/>
  <c r="G60" i="3"/>
  <c r="G43" i="3"/>
  <c r="G32" i="3"/>
  <c r="G61" i="3"/>
  <c r="G47" i="3"/>
  <c r="E74" i="3" s="1"/>
  <c r="G34" i="3"/>
  <c r="G45" i="3"/>
  <c r="G28" i="3"/>
  <c r="G56" i="3"/>
  <c r="G51" i="3"/>
  <c r="G55" i="3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78" i="3" l="1"/>
  <c r="E76" i="3"/>
  <c r="E72" i="3"/>
  <c r="E73" i="3"/>
  <c r="E80" i="3" l="1"/>
  <c r="E81" i="3" s="1"/>
</calcChain>
</file>

<file path=xl/sharedStrings.xml><?xml version="1.0" encoding="utf-8"?>
<sst xmlns="http://schemas.openxmlformats.org/spreadsheetml/2006/main" count="133" uniqueCount="86">
  <si>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</si>
  <si>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</si>
  <si>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</si>
  <si>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</si>
  <si>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</si>
  <si>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</si>
  <si>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</si>
  <si>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</si>
  <si>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</si>
  <si>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</si>
  <si>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</si>
  <si>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</si>
  <si>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</si>
  <si>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</si>
  <si>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</si>
  <si>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</si>
  <si>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</si>
  <si>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</si>
  <si>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</si>
  <si>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</si>
  <si>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</si>
  <si>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</si>
  <si>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</si>
  <si>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</si>
  <si>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</si>
  <si>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</si>
  <si>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</si>
  <si>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</si>
  <si>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</si>
  <si>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</si>
  <si>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MCK</t>
  </si>
  <si>
    <t>Leverage for QQQ</t>
  </si>
  <si>
    <t>CMCSA</t>
  </si>
  <si>
    <t>Leverage (incl. Cash)</t>
  </si>
  <si>
    <t>CME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</si>
  <si>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</si>
  <si>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</si>
  <si>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</si>
  <si>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</si>
  <si>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</si>
  <si>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</si>
  <si>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</si>
  <si>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</si>
  <si>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</si>
  <si>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</si>
  <si>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</si>
  <si>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</si>
  <si>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</si>
  <si>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</si>
  <si>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</si>
  <si>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</si>
  <si>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</si>
  <si>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</si>
  <si>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</si>
  <si>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</si>
  <si>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</si>
  <si>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</si>
  <si>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</si>
  <si>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</si>
  <si>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</si>
  <si>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</si>
  <si>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</si>
  <si>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</si>
  <si>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</si>
  <si>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</si>
  <si>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</si>
  <si>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</si>
  <si>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</si>
  <si>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</si>
  <si>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</si>
  <si>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</si>
  <si>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</si>
  <si>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</si>
  <si>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</si>
  <si>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</si>
  <si>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INTC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</si>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</sst>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NumberForma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Sheet1!$D$72:$D$80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Sheet1!$E$72:$E$80</c:f>
              <c:numCache>
                <c:formatCode>General</c:formatCode>
                <c:ptCount val="9"/>
                <c:pt idx="0">
                  <c:v>5.2999999999999999E-2</c:v>
                </c:pt>
                <c:pt idx="1">
                  <c:v>4.0000000000000001E-3</c:v>
                </c:pt>
                <c:pt idx="2">
                  <c:v>7.0000000000000007E-2</c:v>
                </c:pt>
                <c:pt idx="3">
                  <c:v>0</c:v>
                </c:pt>
                <c:pt idx="4">
                  <c:v>7.0000000000000007E-2</c:v>
                </c:pt>
                <c:pt idx="5">
                  <c:v>0</c:v>
                </c:pt>
                <c:pt idx="6">
                  <c:v>1.6E-2</c:v>
                </c:pt>
                <c:pt idx="7">
                  <c:v>5.0000000000000001E-3</c:v>
                </c:pt>
                <c:pt idx="8">
                  <c:v>0.78200000000000003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84" totalsRowShown="0" headerRowDxfId="13" dataDxfId="11" headerRowBorderDxfId="12" tableBorderDxfId="10" totalsRowBorderDxfId="9">
  <autoFilter ref="A17:I84" xr:uid="{00000000-0009-0000-0100-000001000000}"/>
  <sortState xmlns:xlrd2="http://schemas.microsoft.com/office/spreadsheetml/2017/richdata2" ref="A18:I83">
    <sortCondition ref="A17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topLeftCell="A34" zoomScale="115" zoomScaleNormal="115" workbookViewId="0">
      <selection activeCell="K51" sqref="K5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3" t="s">
        <v>0</v>
      </c>
      <c r="B1" s="63"/>
      <c r="C1" s="12">
        <v>45250</v>
      </c>
      <c r="E1" s="14"/>
      <c r="F1" s="14"/>
      <c r="G1" s="47"/>
      <c r="H1" s="14"/>
    </row>
    <row r="2" spans="1:10" s="13" customFormat="1" x14ac:dyDescent="0.25">
      <c r="A2" s="63" t="s">
        <v>10</v>
      </c>
      <c r="B2" s="63"/>
      <c r="C2" s="15">
        <f>C15/C14</f>
        <v>1.637310842116694</v>
      </c>
      <c r="D2"/>
      <c r="E2" s="24"/>
      <c r="F2" s="17"/>
      <c r="G2" s="17"/>
      <c r="H2" s="16"/>
    </row>
    <row r="3" spans="1:10" s="13" customFormat="1" x14ac:dyDescent="0.25">
      <c r="A3" s="65" t="s">
        <v>49</v>
      </c>
      <c r="B3" s="66"/>
      <c r="C3" s="15">
        <f>SUM(H18:H42)/C14</f>
        <v>0.39589817027323904</v>
      </c>
      <c r="D3"/>
      <c r="E3" s="24"/>
      <c r="F3" s="17"/>
      <c r="G3" s="17"/>
      <c r="H3" s="16"/>
    </row>
    <row r="4" spans="1:10" s="13" customFormat="1" x14ac:dyDescent="0.25">
      <c r="A4" s="65" t="s">
        <v>56</v>
      </c>
      <c r="B4" s="66"/>
      <c r="C4" s="15">
        <f>SUM(H43:H46)/C14</f>
        <v>3.2668425680287744E-2</v>
      </c>
      <c r="D4"/>
      <c r="E4" s="24"/>
      <c r="F4" s="17"/>
      <c r="G4" s="17"/>
      <c r="H4" s="16"/>
    </row>
    <row r="5" spans="1:10" s="13" customFormat="1" x14ac:dyDescent="0.25">
      <c r="A5" s="65" t="s">
        <v>31</v>
      </c>
      <c r="B5" s="66"/>
      <c r="C5" s="15">
        <f>H47/C14</f>
        <v>0.52500090163387692</v>
      </c>
      <c r="D5"/>
      <c r="E5" s="24"/>
      <c r="F5" s="17"/>
      <c r="G5" s="17"/>
      <c r="H5" s="16"/>
    </row>
    <row r="6" spans="1:10" s="13" customFormat="1" x14ac:dyDescent="0.25">
      <c r="A6" s="65" t="s">
        <v>52</v>
      </c>
      <c r="B6" s="66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5" t="s">
        <v>25</v>
      </c>
      <c r="B7" s="66"/>
      <c r="C7" s="15">
        <f>SUM(H52:H61)/C14</f>
        <v>0.52481781954292406</v>
      </c>
      <c r="D7"/>
      <c r="E7" s="24"/>
      <c r="F7" s="17"/>
      <c r="G7" s="17"/>
      <c r="H7" s="16"/>
    </row>
    <row r="8" spans="1:10" s="13" customFormat="1" x14ac:dyDescent="0.25">
      <c r="A8" s="65" t="s">
        <v>26</v>
      </c>
      <c r="B8" s="66"/>
      <c r="C8" s="15">
        <f>SUM(H48:H51)/C14</f>
        <v>0.12061285121063252</v>
      </c>
      <c r="D8"/>
      <c r="E8" s="24"/>
      <c r="F8" s="17"/>
      <c r="G8" s="17"/>
      <c r="H8" s="16"/>
    </row>
    <row r="9" spans="1:10" s="13" customFormat="1" x14ac:dyDescent="0.25">
      <c r="A9" s="65" t="s">
        <v>50</v>
      </c>
      <c r="B9" s="66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4" t="s">
        <v>48</v>
      </c>
      <c r="B10" s="64"/>
      <c r="C10" s="15">
        <f>SUM(H62:H63)/C14</f>
        <v>3.8312673775733545E-2</v>
      </c>
      <c r="D10" s="23"/>
      <c r="E10" s="16"/>
      <c r="F10" s="17"/>
      <c r="G10" s="17"/>
      <c r="H10" s="16"/>
    </row>
    <row r="11" spans="1:10" s="13" customFormat="1" ht="12.75" x14ac:dyDescent="0.25">
      <c r="A11" s="63" t="s">
        <v>8</v>
      </c>
      <c r="B11" s="63"/>
      <c r="C11" s="18">
        <v>36101128</v>
      </c>
      <c r="D11" s="25"/>
      <c r="E11" s="17"/>
      <c r="F11" s="17"/>
      <c r="G11" s="17"/>
      <c r="H11" s="16"/>
    </row>
    <row r="12" spans="1:10" s="13" customFormat="1" ht="12.75" x14ac:dyDescent="0.25">
      <c r="A12" s="63" t="s">
        <v>6</v>
      </c>
      <c r="B12" s="63"/>
      <c r="C12" s="18">
        <v>0</v>
      </c>
      <c r="F12" s="17"/>
      <c r="H12" s="40"/>
    </row>
    <row r="13" spans="1:10" s="13" customFormat="1" ht="12.75" x14ac:dyDescent="0.25">
      <c r="A13" s="63" t="s">
        <v>7</v>
      </c>
      <c r="B13" s="63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3" t="s">
        <v>9</v>
      </c>
      <c r="B14" s="63"/>
      <c r="C14" s="18">
        <f>C11+C12-C13</f>
        <v>36101128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4" t="s">
        <v>5</v>
      </c>
      <c r="B15" s="64"/>
      <c r="C15" s="11">
        <f t="array" ref="C15">SUM(ABS(Table132[Target allocation ($)]))</f>
        <v>59108768.287042558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30</v>
      </c>
      <c r="B18" s="37" t="s">
        <v>14</v>
      </c>
      <c r="C18" s="50">
        <v>450.2</v>
      </c>
      <c r="D18" s="37">
        <v>1198</v>
      </c>
      <c r="E18" s="37">
        <v>1198</v>
      </c>
      <c r="F18" s="36">
        <f>Table132[[#This Row],[New position]]-Table132[[#This Row],[Old position]]</f>
        <v>0</v>
      </c>
      <c r="G18" s="37">
        <f>ROUND(Table132[[#This Row],[Target allocation ($)]]/(IF(G81&gt;0, G71,E71)*C14)*100,3)</f>
        <v>0.19900000000000001</v>
      </c>
      <c r="H18" s="43">
        <f>Table132[[#This Row],[New position]]*Table132[[#This Row],[Last_Price]]</f>
        <v>539339.6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32</v>
      </c>
      <c r="B19" s="37" t="s">
        <v>14</v>
      </c>
      <c r="C19" s="50">
        <v>42.4</v>
      </c>
      <c r="D19" s="37">
        <v>12705</v>
      </c>
      <c r="E19" s="37">
        <v>12705</v>
      </c>
      <c r="F19" s="36">
        <f>Table132[[#This Row],[New position]]-Table132[[#This Row],[Old position]]</f>
        <v>0</v>
      </c>
      <c r="G19" s="37">
        <f>ROUND(Table132[[#This Row],[Target allocation ($)]]/(IF(G81&gt;0, G71,E71)*C14)*100,3)</f>
        <v>0.19900000000000001</v>
      </c>
      <c r="H19" s="43">
        <f>Table132[[#This Row],[New position]]*Table132[[#This Row],[Last_Price]]</f>
        <v>538692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213.42</v>
      </c>
      <c r="D20" s="37">
        <v>2546</v>
      </c>
      <c r="E20" s="37">
        <v>2546</v>
      </c>
      <c r="F20" s="36">
        <f>Table132[[#This Row],[New position]]-Table132[[#This Row],[Old position]]</f>
        <v>0</v>
      </c>
      <c r="G20" s="37">
        <f>ROUND(Table132[[#This Row],[Target allocation ($)]]/(IF(G81&gt;0, G71,E71)*C14)*100,3)</f>
        <v>0.20100000000000001</v>
      </c>
      <c r="H20" s="43">
        <f>Table132[[#This Row],[New position]]*Table132[[#This Row],[Last_Price]]</f>
        <v>543367.31999999995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195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($)]]/(IF(G81&gt;0, G71,E71)*C14)*100,3)</f>
        <v>0.19800000000000001</v>
      </c>
      <c r="H21" s="43">
        <f>Table132[[#This Row],[New position]]*Table132[[#This Row],[Last_Price]]</f>
        <v>534885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39</v>
      </c>
      <c r="B22" s="37" t="s">
        <v>14</v>
      </c>
      <c r="C22" s="50">
        <v>51.41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($)]]/(IF(G81&gt;0, G71,E71)*C14)*100,3)</f>
        <v>0.20300000000000001</v>
      </c>
      <c r="H22" s="43">
        <f>Table132[[#This Row],[New position]]*Table132[[#This Row],[Last_Price]]</f>
        <v>549624.30999999994</v>
      </c>
      <c r="I22" s="53"/>
      <c r="M22"/>
      <c r="N22"/>
      <c r="O22"/>
      <c r="P22"/>
      <c r="Q22"/>
      <c r="R22"/>
    </row>
    <row r="23" spans="1:18" x14ac:dyDescent="0.25">
      <c r="A23" s="37" t="s">
        <v>40</v>
      </c>
      <c r="B23" s="37" t="s">
        <v>14</v>
      </c>
      <c r="C23" s="50">
        <v>134.25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($)]]/(IF(G81&gt;0, G71,E71)*C14)*100,3)</f>
        <v>0.19800000000000001</v>
      </c>
      <c r="H23" s="43">
        <f>Table132[[#This Row],[New position]]*Table132[[#This Row],[Last_Price]]</f>
        <v>535120.5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41</v>
      </c>
      <c r="B24" s="37" t="s">
        <v>14</v>
      </c>
      <c r="C24" s="50">
        <v>212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($)]]/(IF(G81&gt;0, G71,E71)*C14)*100,3)</f>
        <v>0.19900000000000001</v>
      </c>
      <c r="H24" s="43">
        <f>Table132[[#This Row],[New position]]*Table132[[#This Row],[Last_Price]]</f>
        <v>537844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42</v>
      </c>
      <c r="B25" s="37" t="s">
        <v>14</v>
      </c>
      <c r="C25" s="50">
        <v>2162.2199999999998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($)]]/(IF(G81&gt;0, G71,E71)*C14)*100,3)</f>
        <v>0.19600000000000001</v>
      </c>
      <c r="H25" s="43">
        <f>Table132[[#This Row],[New position]]*Table132[[#This Row],[Last_Price]]</f>
        <v>531906.12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64</v>
      </c>
      <c r="B26" s="37" t="s">
        <v>14</v>
      </c>
      <c r="C26" s="50">
        <v>162.69999999999999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($)]]/(IF(G81&gt;0, G71,E71)*C14)*100,3)</f>
        <v>0.2</v>
      </c>
      <c r="H26" s="43">
        <f>Table132[[#This Row],[New position]]*Table132[[#This Row],[Last_Price]]</f>
        <v>542604.5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65</v>
      </c>
      <c r="B27" s="37" t="s">
        <v>14</v>
      </c>
      <c r="C27" s="50">
        <v>46.95</v>
      </c>
      <c r="D27" s="37">
        <v>11409</v>
      </c>
      <c r="E27" s="37">
        <v>28835</v>
      </c>
      <c r="F27" s="36">
        <f>Table132[[#This Row],[New position]]-Table132[[#This Row],[Old position]]</f>
        <v>17426</v>
      </c>
      <c r="G27" s="37">
        <f>ROUND(Table132[[#This Row],[Target allocation ($)]]/(IF(G81&gt;0, G71,E71)*C14)*100,3)</f>
        <v>0.5</v>
      </c>
      <c r="H27" s="43">
        <f>Table132[[#This Row],[New position]]*Table132[[#This Row],[Last_Price]]</f>
        <v>1353803.25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66</v>
      </c>
      <c r="B28" s="37" t="s">
        <v>14</v>
      </c>
      <c r="C28" s="50">
        <v>89.22</v>
      </c>
      <c r="D28" s="37">
        <v>6002</v>
      </c>
      <c r="E28" s="37">
        <v>6002</v>
      </c>
      <c r="F28" s="36">
        <f>Table132[[#This Row],[New position]]-Table132[[#This Row],[Old position]]</f>
        <v>0</v>
      </c>
      <c r="G28" s="37">
        <f>ROUND(Table132[[#This Row],[Target allocation ($)]]/(IF(G81&gt;0, G71,E71)*C14)*100,3)</f>
        <v>0.19800000000000001</v>
      </c>
      <c r="H28" s="43">
        <f>Table132[[#This Row],[New position]]*Table132[[#This Row],[Last_Price]]</f>
        <v>535498.43999999994</v>
      </c>
      <c r="I28" s="30"/>
      <c r="L28"/>
      <c r="M28"/>
      <c r="N28"/>
      <c r="O28"/>
      <c r="P28"/>
      <c r="Q28"/>
      <c r="R28"/>
    </row>
    <row r="29" spans="1:18" x14ac:dyDescent="0.25">
      <c r="A29" s="48" t="s">
        <v>67</v>
      </c>
      <c r="B29" s="37" t="s">
        <v>14</v>
      </c>
      <c r="C29" s="50">
        <v>189.55</v>
      </c>
      <c r="D29" s="37">
        <v>2839</v>
      </c>
      <c r="E29" s="37">
        <v>2839</v>
      </c>
      <c r="F29" s="36">
        <f>Table132[[#This Row],[New position]]-Table132[[#This Row],[Old position]]</f>
        <v>0</v>
      </c>
      <c r="G29" s="37">
        <f>ROUND(Table132[[#This Row],[Target allocation ($)]]/(IF(G81&gt;0, G71,E71)*C14)*100,3)</f>
        <v>0.19900000000000001</v>
      </c>
      <c r="H29" s="43">
        <f>Table132[[#This Row],[New position]]*Table132[[#This Row],[Last_Price]]</f>
        <v>538132.45000000007</v>
      </c>
      <c r="I29" s="59"/>
      <c r="L29"/>
      <c r="M29"/>
      <c r="N29"/>
      <c r="O29"/>
      <c r="P29"/>
      <c r="Q29"/>
      <c r="R29"/>
    </row>
    <row r="30" spans="1:18" x14ac:dyDescent="0.25">
      <c r="A30" s="37" t="s">
        <v>68</v>
      </c>
      <c r="B30" s="37" t="s">
        <v>14</v>
      </c>
      <c r="C30" s="50">
        <v>373.75</v>
      </c>
      <c r="D30" s="37">
        <v>1436</v>
      </c>
      <c r="E30" s="37">
        <v>1436</v>
      </c>
      <c r="F30" s="36">
        <f>Table132[[#This Row],[New position]]-Table132[[#This Row],[Old position]]</f>
        <v>0</v>
      </c>
      <c r="G30" s="37">
        <f>ROUND(Table132[[#This Row],[Target allocation ($)]]/(IF(G81&gt;0, G71,E71)*C14)*100,3)</f>
        <v>0.19800000000000001</v>
      </c>
      <c r="H30" s="43">
        <f>Table132[[#This Row],[New position]]*Table132[[#This Row],[Last_Price]]</f>
        <v>536705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69</v>
      </c>
      <c r="B31" s="37" t="s">
        <v>14</v>
      </c>
      <c r="C31" s="50">
        <v>134.25</v>
      </c>
      <c r="D31" s="37">
        <v>3945</v>
      </c>
      <c r="E31" s="37">
        <v>3945</v>
      </c>
      <c r="F31" s="36">
        <f>Table132[[#This Row],[New position]]-Table132[[#This Row],[Old position]]</f>
        <v>0</v>
      </c>
      <c r="G31" s="37">
        <f>ROUND(Table132[[#This Row],[Target allocation ($)]]/(IF(G81&gt;0, G71,E71)*C14)*100,3)</f>
        <v>0.19600000000000001</v>
      </c>
      <c r="H31" s="43">
        <f>Table132[[#This Row],[New position]]*Table132[[#This Row],[Last_Price]]</f>
        <v>529616.25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70</v>
      </c>
      <c r="B32" s="37" t="s">
        <v>14</v>
      </c>
      <c r="C32" s="50">
        <v>36.07</v>
      </c>
      <c r="D32" s="37">
        <v>15018</v>
      </c>
      <c r="E32" s="37">
        <v>15018</v>
      </c>
      <c r="F32" s="36">
        <f>Table132[[#This Row],[New position]]-Table132[[#This Row],[Old position]]</f>
        <v>0</v>
      </c>
      <c r="G32" s="37">
        <f>ROUND(Table132[[#This Row],[Target allocation ($)]]/(IF(G81&gt;0, G71,E71)*C14)*100,3)</f>
        <v>0.2</v>
      </c>
      <c r="H32" s="43">
        <f>Table132[[#This Row],[New position]]*Table132[[#This Row],[Last_Price]]</f>
        <v>541699.26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71</v>
      </c>
      <c r="B33" s="37" t="s">
        <v>14</v>
      </c>
      <c r="C33" s="50">
        <v>593.5</v>
      </c>
      <c r="D33" s="37">
        <v>914</v>
      </c>
      <c r="E33" s="37">
        <v>914</v>
      </c>
      <c r="F33" s="36">
        <f>Table132[[#This Row],[New position]]-Table132[[#This Row],[Old position]]</f>
        <v>0</v>
      </c>
      <c r="G33" s="37">
        <f>ROUND(Table132[[#This Row],[Target allocation ($)]]/(IF(G81&gt;0, G71,E71)*C14)*100,3)</f>
        <v>0.2</v>
      </c>
      <c r="H33" s="43">
        <f>Table132[[#This Row],[New position]]*Table132[[#This Row],[Last_Price]]</f>
        <v>542459</v>
      </c>
      <c r="I33" s="59"/>
      <c r="L33"/>
      <c r="M33"/>
      <c r="N33"/>
      <c r="O33"/>
      <c r="P33"/>
      <c r="Q33"/>
      <c r="R33"/>
    </row>
    <row r="34" spans="1:18" x14ac:dyDescent="0.25">
      <c r="A34" s="48" t="s">
        <v>72</v>
      </c>
      <c r="B34" s="37" t="s">
        <v>14</v>
      </c>
      <c r="C34" s="50">
        <v>121.69</v>
      </c>
      <c r="D34" s="37">
        <v>4440</v>
      </c>
      <c r="E34" s="37">
        <v>4440</v>
      </c>
      <c r="F34" s="36">
        <f>Table132[[#This Row],[New position]]-Table132[[#This Row],[Old position]]</f>
        <v>0</v>
      </c>
      <c r="G34" s="37">
        <f>ROUND(Table132[[#This Row],[Target allocation ($)]]/(IF(G81&gt;0, G71,E71)*C14)*100,3)</f>
        <v>0.2</v>
      </c>
      <c r="H34" s="43">
        <f>Table132[[#This Row],[New position]]*Table132[[#This Row],[Last_Price]]</f>
        <v>540303.6</v>
      </c>
      <c r="I34" s="59"/>
      <c r="L34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50">
        <v>119.88</v>
      </c>
      <c r="D35" s="37">
        <v>4511</v>
      </c>
      <c r="E35" s="37">
        <v>4511</v>
      </c>
      <c r="F35" s="36">
        <f>Table132[[#This Row],[New position]]-Table132[[#This Row],[Old position]]</f>
        <v>0</v>
      </c>
      <c r="G35" s="37">
        <f>ROUND(Table132[[#This Row],[Target allocation ($)]]/(IF(G81&gt;0, G71,E71)*C14)*100,3)</f>
        <v>0.2</v>
      </c>
      <c r="H35" s="43">
        <f>Table132[[#This Row],[New position]]*Table132[[#This Row],[Last_Price]]</f>
        <v>540778.67999999993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50">
        <v>359</v>
      </c>
      <c r="D36" s="37">
        <v>1492</v>
      </c>
      <c r="E36" s="37">
        <v>1492</v>
      </c>
      <c r="F36" s="36">
        <f>Table132[[#This Row],[New position]]-Table132[[#This Row],[Old position]]</f>
        <v>0</v>
      </c>
      <c r="G36" s="37">
        <f>ROUND(Table132[[#This Row],[Target allocation ($)]]/(IF(G81&gt;0, G71,E71)*C14)*100,3)</f>
        <v>0.19800000000000001</v>
      </c>
      <c r="H36" s="43">
        <f>Table132[[#This Row],[New position]]*Table132[[#This Row],[Last_Price]]</f>
        <v>535628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50">
        <v>43.67</v>
      </c>
      <c r="D37" s="37">
        <v>12461</v>
      </c>
      <c r="E37" s="37">
        <v>12461</v>
      </c>
      <c r="F37" s="36">
        <f>Table132[[#This Row],[New position]]-Table132[[#This Row],[Old position]]</f>
        <v>0</v>
      </c>
      <c r="G37" s="37">
        <f>ROUND(Table132[[#This Row],[Target allocation ($)]]/(IF(G81&gt;0, G71,E71)*C14)*100,3)</f>
        <v>0.20100000000000001</v>
      </c>
      <c r="H37" s="43">
        <f>Table132[[#This Row],[New position]]*Table132[[#This Row],[Last_Price]]</f>
        <v>544171.87</v>
      </c>
      <c r="I37" s="56"/>
      <c r="L37" s="54"/>
      <c r="M37"/>
      <c r="N37"/>
      <c r="O37"/>
      <c r="P37"/>
      <c r="Q37"/>
      <c r="R37"/>
    </row>
    <row r="38" spans="1:18" x14ac:dyDescent="0.25">
      <c r="A38" s="37" t="s">
        <v>76</v>
      </c>
      <c r="B38" s="37" t="s">
        <v>14</v>
      </c>
      <c r="C38" s="50">
        <v>682</v>
      </c>
      <c r="D38" s="37">
        <v>792</v>
      </c>
      <c r="E38" s="37">
        <v>792</v>
      </c>
      <c r="F38" s="36">
        <f>Table132[[#This Row],[New position]]-Table132[[#This Row],[Old position]]</f>
        <v>0</v>
      </c>
      <c r="G38" s="37">
        <f>ROUND(Table132[[#This Row],[Target allocation ($)]]/(IF(G81&gt;0, G71,E71)*C14)*100,3)</f>
        <v>0.19900000000000001</v>
      </c>
      <c r="H38" s="43">
        <f>Table132[[#This Row],[New position]]*Table132[[#This Row],[Last_Price]]</f>
        <v>540144</v>
      </c>
      <c r="I38" s="60"/>
      <c r="L38" s="54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50">
        <v>352.14</v>
      </c>
      <c r="D39" s="37">
        <v>1531</v>
      </c>
      <c r="E39" s="37">
        <v>1531</v>
      </c>
      <c r="F39" s="36">
        <f>Table132[[#This Row],[New position]]-Table132[[#This Row],[Old position]]</f>
        <v>0</v>
      </c>
      <c r="G39" s="37">
        <f>ROUND(Table132[[#This Row],[Target allocation ($)]]/(IF(G81&gt;0, G71,E71)*C14)*100,3)</f>
        <v>0.19900000000000001</v>
      </c>
      <c r="H39" s="43">
        <f>Table132[[#This Row],[New position]]*Table132[[#This Row],[Last_Price]]</f>
        <v>539126.34</v>
      </c>
      <c r="I39" s="60"/>
      <c r="L39" s="54"/>
      <c r="M39"/>
      <c r="N39"/>
      <c r="O39"/>
      <c r="P39"/>
      <c r="Q39"/>
      <c r="R39"/>
    </row>
    <row r="40" spans="1:18" x14ac:dyDescent="0.25">
      <c r="A40" s="48" t="s">
        <v>78</v>
      </c>
      <c r="B40" s="48" t="s">
        <v>14</v>
      </c>
      <c r="C40" s="50">
        <v>307.26</v>
      </c>
      <c r="D40" s="37">
        <v>1754</v>
      </c>
      <c r="E40" s="37">
        <v>1754</v>
      </c>
      <c r="F40" s="36">
        <f>Table132[[#This Row],[New position]]-Table132[[#This Row],[Old position]]</f>
        <v>0</v>
      </c>
      <c r="G40" s="37">
        <f>ROUND(Table132[[#This Row],[Target allocation ($)]]/(IF(G81&gt;0, G71,E71)*C14)*100,3)</f>
        <v>0.19900000000000001</v>
      </c>
      <c r="H40" s="43">
        <f>Table132[[#This Row],[New position]]*Table132[[#This Row],[Last_Price]]</f>
        <v>538934.04</v>
      </c>
      <c r="I40" s="60"/>
      <c r="L40" s="54"/>
      <c r="M40"/>
      <c r="N40"/>
      <c r="O40"/>
      <c r="P40"/>
      <c r="Q40"/>
      <c r="R40"/>
    </row>
    <row r="41" spans="1:18" x14ac:dyDescent="0.25">
      <c r="A41" s="48" t="s">
        <v>79</v>
      </c>
      <c r="B41" s="48" t="s">
        <v>14</v>
      </c>
      <c r="C41" s="50">
        <v>131.38999999999999</v>
      </c>
      <c r="D41" s="37">
        <v>4131</v>
      </c>
      <c r="E41" s="37">
        <v>4131</v>
      </c>
      <c r="F41" s="36">
        <f>Table132[[#This Row],[New position]]-Table132[[#This Row],[Old position]]</f>
        <v>0</v>
      </c>
      <c r="G41" s="37">
        <f>ROUND(Table132[[#This Row],[Target allocation ($)]]/(IF(G81&gt;0, G71,E71)*C14)*100,3)</f>
        <v>0.2</v>
      </c>
      <c r="H41" s="43">
        <f>Table132[[#This Row],[New position]]*Table132[[#This Row],[Last_Price]]</f>
        <v>542772.09</v>
      </c>
      <c r="I41" s="60"/>
      <c r="L41" s="54"/>
      <c r="M41"/>
      <c r="N41"/>
      <c r="O41"/>
      <c r="P41"/>
      <c r="Q41"/>
      <c r="R41"/>
    </row>
    <row r="42" spans="1:18" x14ac:dyDescent="0.25">
      <c r="A42" s="48" t="s">
        <v>80</v>
      </c>
      <c r="B42" s="48" t="s">
        <v>14</v>
      </c>
      <c r="C42" s="50">
        <v>177.9</v>
      </c>
      <c r="D42" s="37">
        <v>3031</v>
      </c>
      <c r="E42" s="37">
        <v>3031</v>
      </c>
      <c r="F42" s="36">
        <f>Table132[[#This Row],[New position]]-Table132[[#This Row],[Old position]]</f>
        <v>0</v>
      </c>
      <c r="G42" s="37">
        <f>ROUND(Table132[[#This Row],[Target allocation ($)]]/(IF(G81&gt;0, G71,E71)*C14)*100,3)</f>
        <v>0.19900000000000001</v>
      </c>
      <c r="H42" s="43">
        <f>Table132[[#This Row],[New position]]*Table132[[#This Row],[Last_Price]]</f>
        <v>539214.9</v>
      </c>
      <c r="I42" s="60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245.854951185495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($)]]/(IF(G81&gt;0, G71,E71)*C14)*100,3)</f>
        <v>8.2000000000000003E-2</v>
      </c>
      <c r="H43" s="43">
        <f>Table132[[#This Row],[New position]]*Table132[[#This Row],[Last_Price]]</f>
        <v>221269.45606694551</v>
      </c>
      <c r="I43" s="60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41.822849807445401</v>
      </c>
      <c r="D44" s="37">
        <v>11300</v>
      </c>
      <c r="E44" s="37">
        <v>12900</v>
      </c>
      <c r="F44" s="36">
        <f>Table132[[#This Row],[New position]]-Table132[[#This Row],[Old position]]</f>
        <v>1600</v>
      </c>
      <c r="G44" s="37">
        <f>ROUND(Table132[[#This Row],[Target allocation ($)]]/(IF(G81&gt;0, G71,E71)*C14)*100,3)</f>
        <v>0.19900000000000001</v>
      </c>
      <c r="H44" s="43">
        <f>Table132[[#This Row],[New position]]*Table132[[#This Row],[Last_Price]]</f>
        <v>539514.76251604571</v>
      </c>
      <c r="I44" s="60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9.5507060333761196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($)]]/(IF(G81&gt;0, G71,E71)*C14)*100,3)</f>
        <v>7.8E-2</v>
      </c>
      <c r="H45" s="43">
        <f>Table132[[#This Row],[New position]]*Table132[[#This Row],[Last_Price]]</f>
        <v>210115.53273427463</v>
      </c>
      <c r="I45" s="60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13.3632862644416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($)]]/(IF(G81&gt;0, G71,E71)*C14)*100,3)</f>
        <v>7.6999999999999999E-2</v>
      </c>
      <c r="H46" s="43">
        <f>Table132[[#This Row],[New position]]*Table132[[#This Row],[Last_Price]]</f>
        <v>208467.26572528895</v>
      </c>
      <c r="I46" s="60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386.05</v>
      </c>
      <c r="D47" s="37">
        <v>35007</v>
      </c>
      <c r="E47" s="37">
        <v>49095</v>
      </c>
      <c r="F47" s="36">
        <f>Table132[[#This Row],[New position]]-Table132[[#This Row],[Old position]]</f>
        <v>14088</v>
      </c>
      <c r="G47" s="37">
        <f>ROUND(Table132[[#This Row],[Target allocation ($)]]/(IF(G81&gt;0, G71,E71)*C14)*100,3)</f>
        <v>7</v>
      </c>
      <c r="H47" s="43">
        <f>Table132[[#This Row],[New position]]*Table132[[#This Row],[Last_Price]]</f>
        <v>18953124.75</v>
      </c>
      <c r="I47" s="60"/>
      <c r="L47" s="54"/>
      <c r="M47"/>
      <c r="N47"/>
      <c r="O47"/>
      <c r="P47"/>
      <c r="Q47"/>
      <c r="R47"/>
    </row>
    <row r="48" spans="1:18" x14ac:dyDescent="0.25">
      <c r="A48" s="48" t="s">
        <v>36</v>
      </c>
      <c r="B48" s="48" t="s">
        <v>14</v>
      </c>
      <c r="C48" s="50">
        <v>49.5</v>
      </c>
      <c r="D48" s="37">
        <v>7198</v>
      </c>
      <c r="E48" s="37">
        <v>27349</v>
      </c>
      <c r="F48" s="36">
        <f>Table132[[#This Row],[New position]]-Table132[[#This Row],[Old position]]</f>
        <v>20151</v>
      </c>
      <c r="G48" s="37">
        <f>ROUND(Table132[[#This Row],[Target allocation ($)]]/(IF(G81&gt;0, G71,E71)*C14)*100,3)</f>
        <v>0.5</v>
      </c>
      <c r="H48" s="43">
        <f>Table132[[#This Row],[New position]]*Table132[[#This Row],[Last_Price]]</f>
        <v>1353775.5</v>
      </c>
      <c r="I48" s="60"/>
      <c r="L48" s="54"/>
      <c r="M48"/>
      <c r="N48"/>
      <c r="O48"/>
      <c r="P48"/>
      <c r="Q48"/>
      <c r="R48"/>
    </row>
    <row r="49" spans="1:18" x14ac:dyDescent="0.25">
      <c r="A49" s="48" t="s">
        <v>37</v>
      </c>
      <c r="B49" s="48" t="s">
        <v>14</v>
      </c>
      <c r="C49" s="50">
        <v>15.09</v>
      </c>
      <c r="D49" s="37">
        <v>19970</v>
      </c>
      <c r="E49" s="37">
        <v>89715</v>
      </c>
      <c r="F49" s="36">
        <f>Table132[[#This Row],[New position]]-Table132[[#This Row],[Old position]]</f>
        <v>69745</v>
      </c>
      <c r="G49" s="37">
        <f>ROUND(Table132[[#This Row],[Target allocation ($)]]/(IF(G81&gt;0, G71,E71)*C14)*100,3)</f>
        <v>0.5</v>
      </c>
      <c r="H49" s="43">
        <f>Table132[[#This Row],[New position]]*Table132[[#This Row],[Last_Price]]</f>
        <v>1353799.35</v>
      </c>
      <c r="I49" s="60"/>
      <c r="L49" s="54"/>
      <c r="M49"/>
      <c r="N49"/>
      <c r="O49"/>
      <c r="P49"/>
      <c r="Q49"/>
      <c r="R49"/>
    </row>
    <row r="50" spans="1:18" x14ac:dyDescent="0.25">
      <c r="A50" s="48" t="s">
        <v>38</v>
      </c>
      <c r="B50" s="48" t="s">
        <v>14</v>
      </c>
      <c r="C50" s="50">
        <v>20.97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($)]]/(IF(G81&gt;0, G71,E71)*C14)*100,3)</f>
        <v>0.108</v>
      </c>
      <c r="H50" s="43">
        <f>Table132[[#This Row],[New position]]*Table132[[#This Row],[Last_Price]]</f>
        <v>292887.99</v>
      </c>
      <c r="I50" s="60"/>
      <c r="L50" s="54"/>
      <c r="M50"/>
      <c r="N50"/>
      <c r="O50"/>
      <c r="P50"/>
      <c r="Q50"/>
      <c r="R50"/>
    </row>
    <row r="51" spans="1:18" x14ac:dyDescent="0.25">
      <c r="A51" s="48" t="s">
        <v>85</v>
      </c>
      <c r="B51" s="48" t="s">
        <v>14</v>
      </c>
      <c r="C51" s="50">
        <v>36.83</v>
      </c>
      <c r="D51" s="37">
        <v>0</v>
      </c>
      <c r="E51" s="37">
        <v>36758</v>
      </c>
      <c r="F51" s="36">
        <f>Table132[[#This Row],[New position]]-Table132[[#This Row],[Old position]]</f>
        <v>36758</v>
      </c>
      <c r="G51" s="37">
        <f>ROUND(Table132[[#This Row],[Target allocation ($)]]/(IF(G81&gt;0, G71,E71)*C14)*100,3)</f>
        <v>0.5</v>
      </c>
      <c r="H51" s="43">
        <f>Table132[[#This Row],[New position]]*Table132[[#This Row],[Last_Price]]</f>
        <v>1353797.14</v>
      </c>
      <c r="I51" s="60"/>
      <c r="L51" s="54"/>
      <c r="M51"/>
      <c r="N51"/>
      <c r="O51"/>
      <c r="P51"/>
      <c r="Q51"/>
      <c r="R51"/>
    </row>
    <row r="52" spans="1:18" x14ac:dyDescent="0.25">
      <c r="A52" s="48" t="s">
        <v>57</v>
      </c>
      <c r="B52" s="48" t="s">
        <v>14</v>
      </c>
      <c r="C52" s="50">
        <v>91.68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($)]]/(IF(G81&gt;0, G71,E71)*C14)*100,3)</f>
        <v>0.79800000000000004</v>
      </c>
      <c r="H52" s="43">
        <f>Table132[[#This Row],[New position]]*Table132[[#This Row],[Last_Price]]</f>
        <v>2160805.9200000004</v>
      </c>
      <c r="I52" s="60"/>
      <c r="L52" s="54"/>
      <c r="M52"/>
      <c r="N52"/>
      <c r="O52"/>
      <c r="P52"/>
      <c r="Q52"/>
      <c r="R52"/>
    </row>
    <row r="53" spans="1:18" x14ac:dyDescent="0.25">
      <c r="A53" s="48" t="s">
        <v>58</v>
      </c>
      <c r="B53" s="48" t="s">
        <v>14</v>
      </c>
      <c r="C53" s="50">
        <v>50.2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($)]]/(IF(G81&gt;0, G71,E71)*C14)*100,3)</f>
        <v>0.2</v>
      </c>
      <c r="H53" s="43">
        <f>Table132[[#This Row],[New position]]*Table132[[#This Row],[Last_Price]]</f>
        <v>540202.20000000007</v>
      </c>
      <c r="I53" s="60"/>
      <c r="L53" s="54"/>
      <c r="M53"/>
      <c r="N53"/>
      <c r="O53"/>
      <c r="P53"/>
      <c r="Q53"/>
      <c r="R53"/>
    </row>
    <row r="54" spans="1:18" x14ac:dyDescent="0.25">
      <c r="A54" s="48" t="s">
        <v>43</v>
      </c>
      <c r="B54" s="48" t="s">
        <v>14</v>
      </c>
      <c r="C54" s="50">
        <v>77.349999999999994</v>
      </c>
      <c r="D54" s="37">
        <v>17426</v>
      </c>
      <c r="E54" s="37">
        <v>26253</v>
      </c>
      <c r="F54" s="36">
        <f>Table132[[#This Row],[New position]]-Table132[[#This Row],[Old position]]</f>
        <v>8827</v>
      </c>
      <c r="G54" s="37">
        <f>ROUND(Table132[[#This Row],[Target allocation ($)]]/(IF(G81&gt;0, G71,E71)*C14)*100,3)</f>
        <v>0.75</v>
      </c>
      <c r="H54" s="43">
        <f>Table132[[#This Row],[New position]]*Table132[[#This Row],[Last_Price]]</f>
        <v>2030669.5499999998</v>
      </c>
      <c r="I54" s="60"/>
      <c r="L54" s="54"/>
      <c r="M54"/>
      <c r="N54"/>
      <c r="O54"/>
      <c r="P54"/>
      <c r="Q54"/>
      <c r="R54"/>
    </row>
    <row r="55" spans="1:18" x14ac:dyDescent="0.25">
      <c r="A55" s="48" t="s">
        <v>44</v>
      </c>
      <c r="B55" s="48" t="s">
        <v>14</v>
      </c>
      <c r="C55" s="50">
        <v>67.34</v>
      </c>
      <c r="D55" s="37">
        <v>20139</v>
      </c>
      <c r="E55" s="37">
        <v>30156</v>
      </c>
      <c r="F55" s="36">
        <f>Table132[[#This Row],[New position]]-Table132[[#This Row],[Old position]]</f>
        <v>10017</v>
      </c>
      <c r="G55" s="37">
        <f>ROUND(Table132[[#This Row],[Target allocation ($)]]/(IF(G81&gt;0, G71,E71)*C14)*100,3)</f>
        <v>0.75</v>
      </c>
      <c r="H55" s="43">
        <f>Table132[[#This Row],[New position]]*Table132[[#This Row],[Last_Price]]</f>
        <v>2030705.04</v>
      </c>
      <c r="I55" s="60"/>
      <c r="L55" s="54"/>
      <c r="M55"/>
      <c r="N55"/>
      <c r="O55"/>
      <c r="P55"/>
      <c r="Q55"/>
      <c r="R55"/>
    </row>
    <row r="56" spans="1:18" x14ac:dyDescent="0.25">
      <c r="A56" s="48" t="s">
        <v>59</v>
      </c>
      <c r="B56" s="48" t="s">
        <v>14</v>
      </c>
      <c r="C56" s="50">
        <v>89.51</v>
      </c>
      <c r="D56" s="37">
        <v>15009</v>
      </c>
      <c r="E56" s="37">
        <v>22687</v>
      </c>
      <c r="F56" s="36">
        <f>Table132[[#This Row],[New position]]-Table132[[#This Row],[Old position]]</f>
        <v>7678</v>
      </c>
      <c r="G56" s="37">
        <f>ROUND(Table132[[#This Row],[Target allocation ($)]]/(IF(G81&gt;0, G71,E71)*C14)*100,3)</f>
        <v>0.75</v>
      </c>
      <c r="H56" s="43">
        <f>Table132[[#This Row],[New position]]*Table132[[#This Row],[Last_Price]]</f>
        <v>2030713.37</v>
      </c>
      <c r="I56" s="60"/>
      <c r="L56" s="54"/>
      <c r="M56"/>
      <c r="N56"/>
      <c r="O56"/>
      <c r="P56"/>
      <c r="Q56"/>
      <c r="R56"/>
    </row>
    <row r="57" spans="1:18" x14ac:dyDescent="0.25">
      <c r="A57" s="48" t="s">
        <v>60</v>
      </c>
      <c r="B57" s="48" t="s">
        <v>14</v>
      </c>
      <c r="C57" s="50">
        <v>4.8600000000000003</v>
      </c>
      <c r="D57" s="37">
        <v>274490</v>
      </c>
      <c r="E57" s="37">
        <v>417837</v>
      </c>
      <c r="F57" s="36">
        <f>Table132[[#This Row],[New position]]-Table132[[#This Row],[Old position]]</f>
        <v>143347</v>
      </c>
      <c r="G57" s="37">
        <f>ROUND(Table132[[#This Row],[Target allocation ($)]]/(IF(G81&gt;0, G71,E71)*C14)*100,3)</f>
        <v>0.75</v>
      </c>
      <c r="H57" s="43">
        <f>Table132[[#This Row],[New position]]*Table132[[#This Row],[Last_Price]]</f>
        <v>2030687.82</v>
      </c>
      <c r="I57" s="60"/>
      <c r="L57" s="54"/>
      <c r="M57"/>
      <c r="N57"/>
      <c r="O57"/>
      <c r="P57"/>
      <c r="Q57"/>
      <c r="R57"/>
    </row>
    <row r="58" spans="1:18" x14ac:dyDescent="0.25">
      <c r="A58" s="48" t="s">
        <v>53</v>
      </c>
      <c r="B58" s="48" t="s">
        <v>14</v>
      </c>
      <c r="C58" s="50">
        <v>275.75</v>
      </c>
      <c r="D58" s="37">
        <v>4886</v>
      </c>
      <c r="E58" s="37">
        <v>7364</v>
      </c>
      <c r="F58" s="36">
        <f>Table132[[#This Row],[New position]]-Table132[[#This Row],[Old position]]</f>
        <v>2478</v>
      </c>
      <c r="G58" s="37">
        <f>ROUND(Table132[[#This Row],[Target allocation ($)]]/(IF(G81&gt;0, G71,E71)*C14)*100,3)</f>
        <v>0.75</v>
      </c>
      <c r="H58" s="43">
        <f>Table132[[#This Row],[New position]]*Table132[[#This Row],[Last_Price]]</f>
        <v>2030623</v>
      </c>
      <c r="I58" s="60"/>
      <c r="L58" s="54"/>
      <c r="M58"/>
      <c r="N58"/>
      <c r="O58"/>
      <c r="P58"/>
      <c r="Q58"/>
      <c r="R58"/>
    </row>
    <row r="59" spans="1:18" x14ac:dyDescent="0.25">
      <c r="A59" s="48" t="s">
        <v>54</v>
      </c>
      <c r="B59" s="48" t="s">
        <v>14</v>
      </c>
      <c r="C59" s="50">
        <v>57.23</v>
      </c>
      <c r="D59" s="37">
        <v>23589</v>
      </c>
      <c r="E59" s="37">
        <v>35483</v>
      </c>
      <c r="F59" s="36">
        <f>Table132[[#This Row],[New position]]-Table132[[#This Row],[Old position]]</f>
        <v>11894</v>
      </c>
      <c r="G59" s="37">
        <f>ROUND(Table132[[#This Row],[Target allocation ($)]]/(IF(G81&gt;0, G71,E71)*C14)*100,3)</f>
        <v>0.75</v>
      </c>
      <c r="H59" s="43">
        <f>Table132[[#This Row],[New position]]*Table132[[#This Row],[Last_Price]]</f>
        <v>2030692.0899999999</v>
      </c>
      <c r="I59" s="60"/>
      <c r="L59" s="54"/>
      <c r="M59"/>
      <c r="N59"/>
      <c r="O59"/>
      <c r="P59"/>
      <c r="Q59"/>
      <c r="R59"/>
    </row>
    <row r="60" spans="1:18" x14ac:dyDescent="0.25">
      <c r="A60" s="48" t="s">
        <v>81</v>
      </c>
      <c r="B60" s="48" t="s">
        <v>14</v>
      </c>
      <c r="C60" s="50">
        <v>498.09</v>
      </c>
      <c r="D60" s="37">
        <v>2633</v>
      </c>
      <c r="E60" s="37">
        <v>4077</v>
      </c>
      <c r="F60" s="36">
        <f>Table132[[#This Row],[New position]]-Table132[[#This Row],[Old position]]</f>
        <v>1444</v>
      </c>
      <c r="G60" s="37">
        <f>ROUND(Table132[[#This Row],[Target allocation ($)]]/(IF(G81&gt;0, G71,E71)*C14)*100,3)</f>
        <v>0.75</v>
      </c>
      <c r="H60" s="43">
        <f>Table132[[#This Row],[New position]]*Table132[[#This Row],[Last_Price]]</f>
        <v>2030712.93</v>
      </c>
      <c r="I60" s="60"/>
      <c r="L60" s="54"/>
      <c r="M60"/>
      <c r="N60"/>
      <c r="O60"/>
      <c r="P60"/>
      <c r="Q60"/>
      <c r="R60"/>
    </row>
    <row r="61" spans="1:18" x14ac:dyDescent="0.25">
      <c r="A61" s="48" t="s">
        <v>82</v>
      </c>
      <c r="B61" s="48" t="s">
        <v>14</v>
      </c>
      <c r="C61" s="50">
        <v>104.16</v>
      </c>
      <c r="D61" s="37">
        <v>12974</v>
      </c>
      <c r="E61" s="37">
        <v>19496</v>
      </c>
      <c r="F61" s="36">
        <f>Table132[[#This Row],[New position]]-Table132[[#This Row],[Old position]]</f>
        <v>6522</v>
      </c>
      <c r="G61" s="37">
        <f>ROUND(Table132[[#This Row],[Target allocation ($)]]/(IF(G81&gt;0, G71,E71)*C14)*100,3)</f>
        <v>0.75</v>
      </c>
      <c r="H61" s="43">
        <f>Table132[[#This Row],[New position]]*Table132[[#This Row],[Last_Price]]</f>
        <v>2030703.3599999999</v>
      </c>
      <c r="I61" s="60"/>
      <c r="L61" s="54"/>
      <c r="M61"/>
      <c r="N61"/>
      <c r="O61"/>
      <c r="P61"/>
      <c r="Q61"/>
      <c r="R61"/>
    </row>
    <row r="62" spans="1:18" x14ac:dyDescent="0.25">
      <c r="A62" s="48" t="s">
        <v>83</v>
      </c>
      <c r="B62" s="48" t="s">
        <v>14</v>
      </c>
      <c r="C62" s="50">
        <v>35.31</v>
      </c>
      <c r="D62" s="37">
        <v>19454</v>
      </c>
      <c r="E62" s="37">
        <v>19454</v>
      </c>
      <c r="F62" s="36">
        <f>Table132[[#This Row],[New position]]-Table132[[#This Row],[Old position]]</f>
        <v>0</v>
      </c>
      <c r="G62" s="37">
        <f>ROUND(Table132[[#This Row],[Target allocation ($)]]/(IF(G81&gt;0, G71,E71)*C14)*100,3)</f>
        <v>0.254</v>
      </c>
      <c r="H62" s="43">
        <f>Table132[[#This Row],[New position]]*Table132[[#This Row],[Last_Price]]</f>
        <v>686920.74</v>
      </c>
      <c r="I62" s="60"/>
      <c r="L62" s="54"/>
      <c r="M62"/>
      <c r="N62"/>
      <c r="O62"/>
      <c r="P62"/>
      <c r="Q62"/>
      <c r="R62"/>
    </row>
    <row r="63" spans="1:18" x14ac:dyDescent="0.25">
      <c r="A63" s="48" t="s">
        <v>84</v>
      </c>
      <c r="B63" s="48" t="s">
        <v>14</v>
      </c>
      <c r="C63" s="50">
        <v>100.9</v>
      </c>
      <c r="D63" s="37">
        <v>6900</v>
      </c>
      <c r="E63" s="37">
        <v>6900</v>
      </c>
      <c r="F63" s="36">
        <f>Table132[[#This Row],[New position]]-Table132[[#This Row],[Old position]]</f>
        <v>0</v>
      </c>
      <c r="G63" s="37">
        <f>ROUND(Table132[[#This Row],[Target allocation ($)]]/(IF(G81&gt;0, G71,E71)*C14)*100,3)</f>
        <v>0.25700000000000001</v>
      </c>
      <c r="H63" s="43">
        <f>Table132[[#This Row],[New position]]*Table132[[#This Row],[Last_Price]]</f>
        <v>696210</v>
      </c>
      <c r="I63" s="60"/>
      <c r="L63" s="54"/>
      <c r="M63"/>
      <c r="N63"/>
      <c r="O63"/>
      <c r="P63"/>
      <c r="Q63"/>
      <c r="R63"/>
    </row>
    <row r="64" spans="1:18" x14ac:dyDescent="0.25">
      <c r="A64" s="48"/>
      <c r="B64" s="48"/>
      <c r="C64" s="49"/>
      <c r="D64" s="38"/>
      <c r="E64" s="39"/>
      <c r="F64" s="34"/>
      <c r="G64" s="37"/>
      <c r="H64" s="50"/>
      <c r="I64" s="60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60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60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49"/>
      <c r="D67" s="38"/>
      <c r="E67" s="39"/>
      <c r="F67" s="34"/>
      <c r="G67" s="37"/>
      <c r="H67" s="50"/>
      <c r="I67" s="60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6"/>
      <c r="G68" s="37"/>
      <c r="H68" s="50"/>
      <c r="I68" s="60"/>
      <c r="L68" s="54"/>
      <c r="M68"/>
      <c r="N68"/>
      <c r="O68"/>
      <c r="P68"/>
      <c r="Q68"/>
      <c r="R68"/>
    </row>
    <row r="69" spans="1:18" x14ac:dyDescent="0.25">
      <c r="A69" s="48"/>
      <c r="B69" s="48"/>
      <c r="C69" s="50"/>
      <c r="D69" s="37"/>
      <c r="E69" s="37"/>
      <c r="F69" s="34"/>
      <c r="G69" s="37"/>
      <c r="H69" s="50"/>
      <c r="I69" s="52"/>
      <c r="L69"/>
      <c r="M69"/>
      <c r="N69"/>
      <c r="O69"/>
      <c r="P69"/>
      <c r="Q69"/>
      <c r="R69"/>
    </row>
    <row r="70" spans="1:18" x14ac:dyDescent="0.25">
      <c r="A70" s="48" t="s">
        <v>63</v>
      </c>
      <c r="B70" s="48"/>
      <c r="C70" s="49"/>
      <c r="D70" s="38"/>
      <c r="E70" s="61" t="s">
        <v>61</v>
      </c>
      <c r="F70" s="34"/>
      <c r="G70" s="62" t="s">
        <v>62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48" t="s">
        <v>33</v>
      </c>
      <c r="B71" s="48"/>
      <c r="C71" s="49"/>
      <c r="D71" s="38"/>
      <c r="E71" s="37">
        <f xml:space="preserve"> IF(G81&gt;0, (C15+ABS(G81*G71))/C11, C15/C11)</f>
        <v>7.5383126737757342</v>
      </c>
      <c r="F71" s="34"/>
      <c r="G71" s="37">
        <v>7.5</v>
      </c>
      <c r="H71" s="50"/>
      <c r="I71" s="52"/>
      <c r="L71"/>
      <c r="M71"/>
      <c r="N71"/>
      <c r="O71"/>
      <c r="P71"/>
      <c r="Q71"/>
      <c r="R71"/>
    </row>
    <row r="72" spans="1:18" ht="30" x14ac:dyDescent="0.25">
      <c r="A72" s="37" t="s">
        <v>45</v>
      </c>
      <c r="B72" s="37"/>
      <c r="C72" s="37"/>
      <c r="D72" s="51" t="str">
        <f>Table132[[#This Row],[Symbol]]</f>
        <v>SingleStocks</v>
      </c>
      <c r="E72" s="37">
        <f>ROUND(SUM(G18:G42)/100, 3)</f>
        <v>5.2999999999999999E-2</v>
      </c>
      <c r="F72" s="51" t="str">
        <f>Table132[[#This Row],[Symbol]]</f>
        <v>SingleStocks</v>
      </c>
      <c r="G72" s="67">
        <f>SUM(H18:H42)/(G71*C14)</f>
        <v>5.2786422703098537E-2</v>
      </c>
      <c r="H72" s="37"/>
      <c r="I72" s="30"/>
      <c r="L72"/>
      <c r="M72"/>
      <c r="N72"/>
      <c r="O72"/>
      <c r="P72"/>
      <c r="Q72"/>
      <c r="R72"/>
    </row>
    <row r="73" spans="1:18" ht="30" x14ac:dyDescent="0.25">
      <c r="A73" s="48" t="s">
        <v>55</v>
      </c>
      <c r="B73" s="48"/>
      <c r="C73" s="49"/>
      <c r="D73" s="38"/>
      <c r="E73" s="37">
        <f>ROUND(SUM(G43:G46)/100, 3)</f>
        <v>4.0000000000000001E-3</v>
      </c>
      <c r="F73" s="51" t="str">
        <f>Table132[[#This Row],[Symbol]]</f>
        <v>International Stocks</v>
      </c>
      <c r="G73" s="55">
        <f>SUM(H43:H46)/(G71*C14)</f>
        <v>4.3557900907050329E-3</v>
      </c>
      <c r="H73" s="50"/>
      <c r="I73" s="59"/>
      <c r="L73"/>
      <c r="M73"/>
      <c r="N73"/>
      <c r="O73"/>
      <c r="P73"/>
      <c r="Q73"/>
      <c r="R73"/>
    </row>
    <row r="74" spans="1:18" x14ac:dyDescent="0.25">
      <c r="A74" s="48" t="s">
        <v>11</v>
      </c>
      <c r="B74" s="48"/>
      <c r="C74" s="49"/>
      <c r="D74" s="51" t="str">
        <f>Table132[[#This Row],[Symbol]]</f>
        <v>QQQ</v>
      </c>
      <c r="E74" s="58">
        <f>ROUND(SUM(G47)/100, 3)</f>
        <v>7.0000000000000007E-2</v>
      </c>
      <c r="F74" s="51" t="str">
        <f>Table132[[#This Row],[Symbol]]</f>
        <v>QQQ</v>
      </c>
      <c r="G74" s="55">
        <f>SUM(H47)/(G71*C14)</f>
        <v>7.0000120217850251E-2</v>
      </c>
      <c r="H74" s="50"/>
      <c r="I74" s="30"/>
      <c r="L74"/>
      <c r="M74"/>
      <c r="N74"/>
      <c r="O74"/>
      <c r="P74"/>
      <c r="Q74"/>
      <c r="R74"/>
    </row>
    <row r="75" spans="1:18" x14ac:dyDescent="0.25">
      <c r="A75" s="48" t="s">
        <v>51</v>
      </c>
      <c r="B75" s="48"/>
      <c r="C75" s="49"/>
      <c r="D75" s="38"/>
      <c r="E75" s="58">
        <f>ROUND(SUM(0)/100, 3)</f>
        <v>0</v>
      </c>
      <c r="F75" s="51" t="str">
        <f>Table132[[#This Row],[Symbol]]</f>
        <v>ETF</v>
      </c>
      <c r="G75" s="55">
        <f>SUM(0)/(G72*C14)</f>
        <v>0</v>
      </c>
      <c r="H75" s="50"/>
      <c r="I75" s="59"/>
      <c r="L75"/>
      <c r="M75"/>
      <c r="N75"/>
      <c r="O75"/>
      <c r="P75"/>
      <c r="Q75"/>
      <c r="R75"/>
    </row>
    <row r="76" spans="1:18" x14ac:dyDescent="0.25">
      <c r="A76" s="37" t="s">
        <v>27</v>
      </c>
      <c r="B76" s="48"/>
      <c r="C76" s="49"/>
      <c r="D76" s="51" t="str">
        <f>Table132[[#This Row],[Symbol]]</f>
        <v>Bonds</v>
      </c>
      <c r="E76" s="58">
        <f>ROUND(SUM(G52:G61)/100, 3)</f>
        <v>7.0000000000000007E-2</v>
      </c>
      <c r="F76" s="51" t="str">
        <f>Table132[[#This Row],[Symbol]]</f>
        <v>Bonds</v>
      </c>
      <c r="G76" s="55">
        <f>SUM(H52:H61)/(G71*C14)</f>
        <v>6.9975709272389872E-2</v>
      </c>
      <c r="H76" s="50"/>
      <c r="I76" s="30"/>
      <c r="L76"/>
      <c r="M76"/>
      <c r="N76"/>
      <c r="O76"/>
      <c r="P76"/>
      <c r="Q76"/>
      <c r="R76"/>
    </row>
    <row r="77" spans="1:18" x14ac:dyDescent="0.25">
      <c r="A77" s="48" t="s">
        <v>47</v>
      </c>
      <c r="B77" s="37"/>
      <c r="C77" s="37"/>
      <c r="D77" s="51" t="str">
        <f>Table132[[#This Row],[Symbol]]</f>
        <v>Gold</v>
      </c>
      <c r="E77" s="37">
        <f>ROUND(SUM(0)/100,3)</f>
        <v>0</v>
      </c>
      <c r="F77" s="51" t="str">
        <f>Table132[[#This Row],[Symbol]]</f>
        <v>Gold</v>
      </c>
      <c r="G77" s="55">
        <f>SUM(0)/(G71*C14)</f>
        <v>0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1" t="str">
        <f>Table132[[#This Row],[Symbol]]</f>
        <v>Commodities</v>
      </c>
      <c r="E78" s="37">
        <f>ROUND(SUM(G48:G51)/100,3)</f>
        <v>1.6E-2</v>
      </c>
      <c r="F78" s="51" t="str">
        <f>Table132[[#This Row],[Symbol]]</f>
        <v>Commodities</v>
      </c>
      <c r="G78" s="55">
        <f>SUM(H48:H51)/(G71*C14)</f>
        <v>1.6081713494751002E-2</v>
      </c>
      <c r="H78" s="37"/>
      <c r="I78" s="32"/>
      <c r="L78"/>
      <c r="M78"/>
      <c r="N78"/>
      <c r="O78"/>
      <c r="P78"/>
      <c r="Q78"/>
      <c r="R78"/>
    </row>
    <row r="79" spans="1:18" x14ac:dyDescent="0.25">
      <c r="A79" s="48" t="s">
        <v>46</v>
      </c>
      <c r="B79" s="48"/>
      <c r="C79" s="49"/>
      <c r="D79" s="51" t="str">
        <f>Table132[[#This Row],[Symbol]]</f>
        <v>Crypto</v>
      </c>
      <c r="E79" s="58">
        <f>ROUND(SUM(G62:G63)/100,3)</f>
        <v>5.0000000000000001E-3</v>
      </c>
      <c r="F79" s="51" t="str">
        <f>Table132[[#This Row],[Symbol]]</f>
        <v>Crypto</v>
      </c>
      <c r="G79" s="55">
        <f>SUM(H62:H63)/(G71*C14)</f>
        <v>5.1083565034311393E-3</v>
      </c>
      <c r="H79" s="50"/>
      <c r="I79" s="57"/>
      <c r="L79"/>
      <c r="M79"/>
      <c r="N79"/>
      <c r="O79"/>
      <c r="P79"/>
      <c r="Q79"/>
      <c r="R79"/>
    </row>
    <row r="80" spans="1:18" x14ac:dyDescent="0.25">
      <c r="A80" s="37" t="s">
        <v>23</v>
      </c>
      <c r="B80" s="37"/>
      <c r="C80" s="37"/>
      <c r="D80" s="51" t="str">
        <f>Table132[[#This Row],[Symbol]]</f>
        <v>Cash</v>
      </c>
      <c r="E80" s="37">
        <f>1-SUM(E72:E79)</f>
        <v>0.78200000000000003</v>
      </c>
      <c r="F80" s="51" t="str">
        <f>Table132[[#This Row],[Symbol]]</f>
        <v>Cash</v>
      </c>
      <c r="G80" s="55">
        <f>1-SUM(G72:G78)</f>
        <v>0.78680024422120531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C14*E80</f>
        <v>28231082.096000001</v>
      </c>
      <c r="F81" s="34"/>
      <c r="G81" s="37">
        <f>C14*G80</f>
        <v>28404376.327060994</v>
      </c>
      <c r="H81" s="43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4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4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5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2023-11-20T13:26:31Z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