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752" documentId="14_{A48F4B07-3EF3-43E5-91B2-4CA340E6013A}" xr6:coauthVersionLast="47" xr6:coauthVersionMax="47" xr10:uidLastSave="{7239D69B-AE16-4439-AA25-110CC6C546D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3" l="1"/>
  <c r="E78" i="3"/>
  <c r="E77" i="3"/>
  <c r="E76" i="3"/>
  <c r="H43" i="3"/>
  <c r="H64" i="3"/>
  <c r="H63" i="3"/>
  <c r="F64" i="3"/>
  <c r="F63" i="3" l="1"/>
  <c r="F29" i="3" l="1"/>
  <c r="H41" i="3"/>
  <c r="H42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4" i="3"/>
  <c r="H39" i="3"/>
  <c r="H40" i="3"/>
  <c r="H33" i="3" l="1"/>
  <c r="H34" i="3"/>
  <c r="H29" i="3"/>
  <c r="F72" i="3"/>
  <c r="H37" i="3" l="1"/>
  <c r="H38" i="3"/>
  <c r="H30" i="3"/>
  <c r="F74" i="3"/>
  <c r="H36" i="3"/>
  <c r="D79" i="3"/>
  <c r="D78" i="3"/>
  <c r="D77" i="3"/>
  <c r="D76" i="3"/>
  <c r="D75" i="3"/>
  <c r="D73" i="3"/>
  <c r="D71" i="3"/>
  <c r="H32" i="3" l="1"/>
  <c r="H31" i="3"/>
  <c r="H28" i="3" l="1"/>
  <c r="H27" i="3"/>
  <c r="H26" i="3"/>
  <c r="F79" i="3"/>
  <c r="F77" i="3"/>
  <c r="F78" i="3"/>
  <c r="F71" i="3"/>
  <c r="F73" i="3"/>
  <c r="F75" i="3"/>
  <c r="F76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6" i="3" l="1"/>
  <c r="G76" i="3"/>
  <c r="C9" i="3"/>
  <c r="G78" i="3"/>
  <c r="C5" i="3"/>
  <c r="G73" i="3"/>
  <c r="G72" i="3"/>
  <c r="C4" i="3"/>
  <c r="C7" i="3"/>
  <c r="G75" i="3"/>
  <c r="G77" i="3"/>
  <c r="C8" i="3"/>
  <c r="C10" i="3"/>
  <c r="C3" i="3"/>
  <c r="G71" i="3"/>
  <c r="G74" i="3" s="1"/>
  <c r="C2" i="3"/>
  <c r="G79" i="3" l="1"/>
  <c r="G80" i="3"/>
  <c r="G47" i="3" s="1"/>
  <c r="E73" i="3" s="1"/>
  <c r="E70" i="3" l="1"/>
  <c r="G63" i="3"/>
  <c r="G49" i="3"/>
  <c r="G64" i="3"/>
  <c r="G48" i="3"/>
  <c r="G62" i="3"/>
  <c r="G50" i="3"/>
  <c r="G58" i="3" l="1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34" i="3"/>
  <c r="G45" i="3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1" i="3" l="1"/>
  <c r="E75" i="3"/>
  <c r="E72" i="3"/>
  <c r="E80" i="3" l="1"/>
</calcChain>
</file>

<file path=xl/sharedStrings.xml><?xml version="1.0" encoding="utf-8"?>
<sst xmlns="http://schemas.openxmlformats.org/spreadsheetml/2006/main" count="135" uniqueCount="87">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</sst>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Sheet1!$D$71:$D$79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Sheet1!$E$71:$E$79</c:f>
              <c:numCache>
                <c:formatCode>General</c:formatCode>
                <c:ptCount val="9"/>
                <c:pt idx="0">
                  <c:v>9.2999999999999999E-2</c:v>
                </c:pt>
                <c:pt idx="1">
                  <c:v>6.0000000000000001E-3</c:v>
                </c:pt>
                <c:pt idx="2">
                  <c:v>0.15</c:v>
                </c:pt>
                <c:pt idx="3">
                  <c:v>0</c:v>
                </c:pt>
                <c:pt idx="4">
                  <c:v>0.153</c:v>
                </c:pt>
                <c:pt idx="5">
                  <c:v>0.02</c:v>
                </c:pt>
                <c:pt idx="6">
                  <c:v>0.02</c:v>
                </c:pt>
                <c:pt idx="7">
                  <c:v>1.2E-2</c:v>
                </c:pt>
                <c:pt idx="8">
                  <c:v>0.54599999999999993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3" totalsRowShown="0" headerRowDxfId="13" dataDxfId="11" headerRowBorderDxfId="12" tableBorderDxfId="10" totalsRowBorderDxfId="9">
  <autoFilter ref="A17:I83" xr:uid="{00000000-0009-0000-0100-000001000000}"/>
  <sortState xmlns:xlrd2="http://schemas.microsoft.com/office/spreadsheetml/2017/richdata2" ref="A18:I82">
    <sortCondition ref="A1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topLeftCell="A34" zoomScale="115" zoomScaleNormal="115" workbookViewId="0">
      <selection activeCell="I60" sqref="I6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45257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2.6419486053164372</v>
      </c>
      <c r="D2"/>
      <c r="E2" s="24"/>
      <c r="F2" s="17"/>
      <c r="G2" s="17"/>
      <c r="H2" s="16"/>
    </row>
    <row r="3" spans="1:10" s="13" customFormat="1" x14ac:dyDescent="0.25">
      <c r="A3" s="64" t="s">
        <v>48</v>
      </c>
      <c r="B3" s="65"/>
      <c r="C3" s="15">
        <f>SUM(H18:H42)/C14</f>
        <v>0.53874771210723971</v>
      </c>
      <c r="D3"/>
      <c r="E3" s="24"/>
      <c r="F3" s="17"/>
      <c r="G3" s="17"/>
      <c r="H3" s="16"/>
    </row>
    <row r="4" spans="1:10" s="13" customFormat="1" x14ac:dyDescent="0.25">
      <c r="A4" s="64" t="s">
        <v>55</v>
      </c>
      <c r="B4" s="65"/>
      <c r="C4" s="15">
        <f>SUM(H43:H46)/C14</f>
        <v>3.2943964360555807E-2</v>
      </c>
      <c r="D4"/>
      <c r="E4" s="24"/>
      <c r="F4" s="17"/>
      <c r="G4" s="17"/>
      <c r="H4" s="16"/>
    </row>
    <row r="5" spans="1:10" s="13" customFormat="1" x14ac:dyDescent="0.25">
      <c r="A5" s="64" t="s">
        <v>30</v>
      </c>
      <c r="B5" s="65"/>
      <c r="C5" s="15">
        <f>H47/C14</f>
        <v>0.87366472235415116</v>
      </c>
      <c r="D5"/>
      <c r="E5" s="24"/>
      <c r="F5" s="17"/>
      <c r="G5" s="17"/>
      <c r="H5" s="16"/>
    </row>
    <row r="6" spans="1:10" s="13" customFormat="1" x14ac:dyDescent="0.25">
      <c r="A6" s="64" t="s">
        <v>51</v>
      </c>
      <c r="B6" s="65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4" t="s">
        <v>25</v>
      </c>
      <c r="B7" s="65"/>
      <c r="C7" s="15">
        <f>SUM(H52:H61)/C14</f>
        <v>0.88890985993318605</v>
      </c>
      <c r="D7"/>
      <c r="E7" s="24"/>
      <c r="F7" s="17"/>
      <c r="G7" s="17"/>
      <c r="H7" s="16"/>
    </row>
    <row r="8" spans="1:10" s="13" customFormat="1" x14ac:dyDescent="0.25">
      <c r="A8" s="64" t="s">
        <v>26</v>
      </c>
      <c r="B8" s="65"/>
      <c r="C8" s="15">
        <f>SUM(H48:H51)/C14</f>
        <v>0.11844418699403965</v>
      </c>
      <c r="D8"/>
      <c r="E8" s="24"/>
      <c r="F8" s="17"/>
      <c r="G8" s="17"/>
      <c r="H8" s="16"/>
    </row>
    <row r="9" spans="1:10" s="13" customFormat="1" x14ac:dyDescent="0.25">
      <c r="A9" s="64" t="s">
        <v>49</v>
      </c>
      <c r="B9" s="65"/>
      <c r="C9" s="15">
        <f>SUM(H64)/C14</f>
        <v>0.11648868671884571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47</v>
      </c>
      <c r="B10" s="63"/>
      <c r="C10" s="15">
        <f>SUM(H62:H63)/C14</f>
        <v>7.2749472848418748E-2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36795868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36795868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97212792.144007713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31</v>
      </c>
      <c r="B18" s="37" t="s">
        <v>14</v>
      </c>
      <c r="C18" s="50">
        <v>42.58</v>
      </c>
      <c r="D18" s="37">
        <v>12705</v>
      </c>
      <c r="E18" s="37">
        <v>12705</v>
      </c>
      <c r="F18" s="36">
        <f>Table132[[#This Row],[New position]]-Table132[[#This Row],[Old position]]</f>
        <v>0</v>
      </c>
      <c r="G18" s="37">
        <f>ROUND(Table132[[#This Row],[Target allocation ($)]]/(IF(G80&gt;0, G70,E70)*C14)*100,3)</f>
        <v>0.252</v>
      </c>
      <c r="H18" s="43">
        <f>Table132[[#This Row],[New position]]*Table132[[#This Row],[Last_Price]]</f>
        <v>540978.9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33</v>
      </c>
      <c r="B19" s="37" t="s">
        <v>14</v>
      </c>
      <c r="C19" s="50">
        <v>217.19</v>
      </c>
      <c r="D19" s="37">
        <v>2546</v>
      </c>
      <c r="E19" s="37">
        <v>2546</v>
      </c>
      <c r="F19" s="36">
        <f>Table132[[#This Row],[New position]]-Table132[[#This Row],[Old position]]</f>
        <v>0</v>
      </c>
      <c r="G19" s="37">
        <f>ROUND(Table132[[#This Row],[Target allocation ($)]]/(IF(G80&gt;0, G70,E70)*C14)*100,3)</f>
        <v>0.25800000000000001</v>
      </c>
      <c r="H19" s="43">
        <f>Table132[[#This Row],[New position]]*Table132[[#This Row],[Last_Price]]</f>
        <v>552965.74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201.3</v>
      </c>
      <c r="D20" s="37">
        <v>2743</v>
      </c>
      <c r="E20" s="37">
        <v>2743</v>
      </c>
      <c r="F20" s="36">
        <f>Table132[[#This Row],[New position]]-Table132[[#This Row],[Old position]]</f>
        <v>0</v>
      </c>
      <c r="G20" s="37">
        <f>ROUND(Table132[[#This Row],[Target allocation ($)]]/(IF(G80&gt;0, G70,E70)*C14)*100,3)</f>
        <v>0.25800000000000001</v>
      </c>
      <c r="H20" s="43">
        <f>Table132[[#This Row],[New position]]*Table132[[#This Row],[Last_Price]]</f>
        <v>552165.9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38</v>
      </c>
      <c r="B21" s="37" t="s">
        <v>14</v>
      </c>
      <c r="C21" s="50">
        <v>53.14</v>
      </c>
      <c r="D21" s="37">
        <v>10691</v>
      </c>
      <c r="E21" s="37">
        <v>10691</v>
      </c>
      <c r="F21" s="36">
        <f>Table132[[#This Row],[New position]]-Table132[[#This Row],[Old position]]</f>
        <v>0</v>
      </c>
      <c r="G21" s="37">
        <f>ROUND(Table132[[#This Row],[Target allocation ($)]]/(IF(G80&gt;0, G70,E70)*C14)*100,3)</f>
        <v>0.26500000000000001</v>
      </c>
      <c r="H21" s="43">
        <f>Table132[[#This Row],[New position]]*Table132[[#This Row],[Last_Price]]</f>
        <v>568119.74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136.5</v>
      </c>
      <c r="D22" s="37">
        <v>3986</v>
      </c>
      <c r="E22" s="37">
        <v>3986</v>
      </c>
      <c r="F22" s="36">
        <f>Table132[[#This Row],[New position]]-Table132[[#This Row],[Old position]]</f>
        <v>0</v>
      </c>
      <c r="G22" s="37">
        <f>ROUND(Table132[[#This Row],[Target allocation ($)]]/(IF(G80&gt;0, G70,E70)*C14)*100,3)</f>
        <v>0.254</v>
      </c>
      <c r="H22" s="43">
        <f>Table132[[#This Row],[New position]]*Table132[[#This Row],[Last_Price]]</f>
        <v>544089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214.45</v>
      </c>
      <c r="D23" s="37">
        <v>2537</v>
      </c>
      <c r="E23" s="37">
        <v>2537</v>
      </c>
      <c r="F23" s="36">
        <f>Table132[[#This Row],[New position]]-Table132[[#This Row],[Old position]]</f>
        <v>0</v>
      </c>
      <c r="G23" s="37">
        <f>ROUND(Table132[[#This Row],[Target allocation ($)]]/(IF(G80&gt;0, G70,E70)*C14)*100,3)</f>
        <v>0.254</v>
      </c>
      <c r="H23" s="43">
        <f>Table132[[#This Row],[New position]]*Table132[[#This Row],[Last_Price]]</f>
        <v>544059.65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2219.67</v>
      </c>
      <c r="D24" s="37">
        <v>246</v>
      </c>
      <c r="E24" s="37">
        <v>246</v>
      </c>
      <c r="F24" s="36">
        <f>Table132[[#This Row],[New position]]-Table132[[#This Row],[Old position]]</f>
        <v>0</v>
      </c>
      <c r="G24" s="37">
        <f>ROUND(Table132[[#This Row],[Target allocation ($)]]/(IF(G80&gt;0, G70,E70)*C14)*100,3)</f>
        <v>0.255</v>
      </c>
      <c r="H24" s="43">
        <f>Table132[[#This Row],[New position]]*Table132[[#This Row],[Last_Price]]</f>
        <v>546038.82000000007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63</v>
      </c>
      <c r="B25" s="37" t="s">
        <v>14</v>
      </c>
      <c r="C25" s="50">
        <v>161.66</v>
      </c>
      <c r="D25" s="37">
        <v>3335</v>
      </c>
      <c r="E25" s="37">
        <v>3335</v>
      </c>
      <c r="F25" s="36">
        <f>Table132[[#This Row],[New position]]-Table132[[#This Row],[Old position]]</f>
        <v>0</v>
      </c>
      <c r="G25" s="37">
        <f>ROUND(Table132[[#This Row],[Target allocation ($)]]/(IF(G80&gt;0, G70,E70)*C14)*100,3)</f>
        <v>0.252</v>
      </c>
      <c r="H25" s="43">
        <f>Table132[[#This Row],[New position]]*Table132[[#This Row],[Last_Price]]</f>
        <v>539136.1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48.07</v>
      </c>
      <c r="D26" s="37">
        <v>66455</v>
      </c>
      <c r="E26" s="37">
        <v>89168</v>
      </c>
      <c r="F26" s="36">
        <f>Table132[[#This Row],[New position]]-Table132[[#This Row],[Old position]]</f>
        <v>22713</v>
      </c>
      <c r="G26" s="37">
        <f>ROUND(Table132[[#This Row],[Target allocation ($)]]/(IF(G80&gt;0, G70,E70)*C14)*100,3)</f>
        <v>2</v>
      </c>
      <c r="H26" s="43">
        <f>Table132[[#This Row],[New position]]*Table132[[#This Row],[Last_Price]]</f>
        <v>4286305.76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91.42</v>
      </c>
      <c r="D27" s="37">
        <v>27973</v>
      </c>
      <c r="E27" s="37">
        <v>39853</v>
      </c>
      <c r="F27" s="36">
        <f>Table132[[#This Row],[New position]]-Table132[[#This Row],[Old position]]</f>
        <v>11880</v>
      </c>
      <c r="G27" s="37">
        <f>ROUND(Table132[[#This Row],[Target allocation ($)]]/(IF(G80&gt;0, G70,E70)*C14)*100,3)</f>
        <v>1.7</v>
      </c>
      <c r="H27" s="43">
        <f>Table132[[#This Row],[New position]]*Table132[[#This Row],[Last_Price]]</f>
        <v>3643361.2600000002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189.4</v>
      </c>
      <c r="D28" s="37">
        <v>2839</v>
      </c>
      <c r="E28" s="37">
        <v>2839</v>
      </c>
      <c r="F28" s="36">
        <f>Table132[[#This Row],[New position]]-Table132[[#This Row],[Old position]]</f>
        <v>0</v>
      </c>
      <c r="G28" s="37">
        <f>ROUND(Table132[[#This Row],[Target allocation ($)]]/(IF(G80&gt;0, G70,E70)*C14)*100,3)</f>
        <v>0.251</v>
      </c>
      <c r="H28" s="43">
        <f>Table132[[#This Row],[New position]]*Table132[[#This Row],[Last_Price]]</f>
        <v>537706.6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377.13</v>
      </c>
      <c r="D29" s="37">
        <v>1436</v>
      </c>
      <c r="E29" s="37">
        <v>1436</v>
      </c>
      <c r="F29" s="36">
        <f>Table132[[#This Row],[New position]]-Table132[[#This Row],[Old position]]</f>
        <v>0</v>
      </c>
      <c r="G29" s="37">
        <f>ROUND(Table132[[#This Row],[Target allocation ($)]]/(IF(G80&gt;0, G70,E70)*C14)*100,3)</f>
        <v>0.253</v>
      </c>
      <c r="H29" s="43">
        <f>Table132[[#This Row],[New position]]*Table132[[#This Row],[Last_Price]]</f>
        <v>541558.68000000005</v>
      </c>
      <c r="I29" s="58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136.22</v>
      </c>
      <c r="D30" s="37">
        <v>3945</v>
      </c>
      <c r="E30" s="37">
        <v>3945</v>
      </c>
      <c r="F30" s="36">
        <f>Table132[[#This Row],[New position]]-Table132[[#This Row],[Old position]]</f>
        <v>0</v>
      </c>
      <c r="G30" s="37">
        <f>ROUND(Table132[[#This Row],[Target allocation ($)]]/(IF(G80&gt;0, G70,E70)*C14)*100,3)</f>
        <v>0.251</v>
      </c>
      <c r="H30" s="43">
        <f>Table132[[#This Row],[New position]]*Table132[[#This Row],[Last_Price]]</f>
        <v>537387.9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36</v>
      </c>
      <c r="D31" s="37">
        <v>15018</v>
      </c>
      <c r="E31" s="37">
        <v>15018</v>
      </c>
      <c r="F31" s="36">
        <f>Table132[[#This Row],[New position]]-Table132[[#This Row],[Old position]]</f>
        <v>0</v>
      </c>
      <c r="G31" s="37">
        <f>ROUND(Table132[[#This Row],[Target allocation ($)]]/(IF(G80&gt;0, G70,E70)*C14)*100,3)</f>
        <v>0.252</v>
      </c>
      <c r="H31" s="43">
        <f>Table132[[#This Row],[New position]]*Table132[[#This Row],[Last_Price]]</f>
        <v>540648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601</v>
      </c>
      <c r="D32" s="37">
        <v>914</v>
      </c>
      <c r="E32" s="37">
        <v>914</v>
      </c>
      <c r="F32" s="36">
        <f>Table132[[#This Row],[New position]]-Table132[[#This Row],[Old position]]</f>
        <v>0</v>
      </c>
      <c r="G32" s="37">
        <f>ROUND(Table132[[#This Row],[Target allocation ($)]]/(IF(G80&gt;0, G70,E70)*C14)*100,3)</f>
        <v>0.25600000000000001</v>
      </c>
      <c r="H32" s="43">
        <f>Table132[[#This Row],[New position]]*Table132[[#This Row],[Last_Price]]</f>
        <v>549314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123.86</v>
      </c>
      <c r="D33" s="37">
        <v>4440</v>
      </c>
      <c r="E33" s="37">
        <v>4440</v>
      </c>
      <c r="F33" s="36">
        <f>Table132[[#This Row],[New position]]-Table132[[#This Row],[Old position]]</f>
        <v>0</v>
      </c>
      <c r="G33" s="37">
        <f>ROUND(Table132[[#This Row],[Target allocation ($)]]/(IF(G80&gt;0, G70,E70)*C14)*100,3)</f>
        <v>0.25700000000000001</v>
      </c>
      <c r="H33" s="43">
        <f>Table132[[#This Row],[New position]]*Table132[[#This Row],[Last_Price]]</f>
        <v>549938.4</v>
      </c>
      <c r="I33" s="58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119.97</v>
      </c>
      <c r="D34" s="37">
        <v>4511</v>
      </c>
      <c r="E34" s="37">
        <v>4511</v>
      </c>
      <c r="F34" s="36">
        <f>Table132[[#This Row],[New position]]-Table132[[#This Row],[Old position]]</f>
        <v>0</v>
      </c>
      <c r="G34" s="37">
        <f>ROUND(Table132[[#This Row],[Target allocation ($)]]/(IF(G80&gt;0, G70,E70)*C14)*100,3)</f>
        <v>0.253</v>
      </c>
      <c r="H34" s="43">
        <f>Table132[[#This Row],[New position]]*Table132[[#This Row],[Last_Price]]</f>
        <v>541184.67000000004</v>
      </c>
      <c r="I34" s="58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362.68</v>
      </c>
      <c r="D35" s="37">
        <v>1492</v>
      </c>
      <c r="E35" s="37">
        <v>1492</v>
      </c>
      <c r="F35" s="36">
        <f>Table132[[#This Row],[New position]]-Table132[[#This Row],[Old position]]</f>
        <v>0</v>
      </c>
      <c r="G35" s="37">
        <f>ROUND(Table132[[#This Row],[Target allocation ($)]]/(IF(G80&gt;0, G70,E70)*C14)*100,3)</f>
        <v>0.252</v>
      </c>
      <c r="H35" s="43">
        <f>Table132[[#This Row],[New position]]*Table132[[#This Row],[Last_Price]]</f>
        <v>541118.56000000006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43.66</v>
      </c>
      <c r="D36" s="37">
        <v>12461</v>
      </c>
      <c r="E36" s="37">
        <v>0</v>
      </c>
      <c r="F36" s="36">
        <f>Table132[[#This Row],[New position]]-Table132[[#This Row],[Old position]]</f>
        <v>-12461</v>
      </c>
      <c r="G36" s="37">
        <f>ROUND(Table132[[#This Row],[Target allocation ($)]]/(IF(G80&gt;0, G70,E70)*C14)*100,3)</f>
        <v>0</v>
      </c>
      <c r="H36" s="43">
        <f>Table132[[#This Row],[New position]]*Table132[[#This Row],[Last_Price]]</f>
        <v>0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691.18</v>
      </c>
      <c r="D37" s="37">
        <v>792</v>
      </c>
      <c r="E37" s="37">
        <v>792</v>
      </c>
      <c r="F37" s="36">
        <f>Table132[[#This Row],[New position]]-Table132[[#This Row],[Old position]]</f>
        <v>0</v>
      </c>
      <c r="G37" s="37">
        <f>ROUND(Table132[[#This Row],[Target allocation ($)]]/(IF(G80&gt;0, G70,E70)*C14)*100,3)</f>
        <v>0.255</v>
      </c>
      <c r="H37" s="43">
        <f>Table132[[#This Row],[New position]]*Table132[[#This Row],[Last_Price]]</f>
        <v>547414.55999999994</v>
      </c>
      <c r="I37" s="55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366.86</v>
      </c>
      <c r="D38" s="37">
        <v>1531</v>
      </c>
      <c r="E38" s="37">
        <v>1531</v>
      </c>
      <c r="F38" s="36">
        <f>Table132[[#This Row],[New position]]-Table132[[#This Row],[Old position]]</f>
        <v>0</v>
      </c>
      <c r="G38" s="37">
        <f>ROUND(Table132[[#This Row],[Target allocation ($)]]/(IF(G80&gt;0, G70,E70)*C14)*100,3)</f>
        <v>0.26200000000000001</v>
      </c>
      <c r="H38" s="43">
        <f>Table132[[#This Row],[New position]]*Table132[[#This Row],[Last_Price]]</f>
        <v>561662.66</v>
      </c>
      <c r="I38" s="59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310.7</v>
      </c>
      <c r="D39" s="37">
        <v>1754</v>
      </c>
      <c r="E39" s="37">
        <v>1754</v>
      </c>
      <c r="F39" s="36">
        <f>Table132[[#This Row],[New position]]-Table132[[#This Row],[Old position]]</f>
        <v>0</v>
      </c>
      <c r="G39" s="37">
        <f>ROUND(Table132[[#This Row],[Target allocation ($)]]/(IF(G80&gt;0, G70,E70)*C14)*100,3)</f>
        <v>0.254</v>
      </c>
      <c r="H39" s="43">
        <f>Table132[[#This Row],[New position]]*Table132[[#This Row],[Last_Price]]</f>
        <v>544967.79999999993</v>
      </c>
      <c r="I39" s="59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131.16999999999999</v>
      </c>
      <c r="D40" s="37">
        <v>4131</v>
      </c>
      <c r="E40" s="37">
        <v>4131</v>
      </c>
      <c r="F40" s="36">
        <f>Table132[[#This Row],[New position]]-Table132[[#This Row],[Old position]]</f>
        <v>0</v>
      </c>
      <c r="G40" s="37">
        <f>ROUND(Table132[[#This Row],[Target allocation ($)]]/(IF(G80&gt;0, G70,E70)*C14)*100,3)</f>
        <v>0.253</v>
      </c>
      <c r="H40" s="43">
        <f>Table132[[#This Row],[New position]]*Table132[[#This Row],[Last_Price]]</f>
        <v>541863.2699999999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178.43</v>
      </c>
      <c r="D41" s="37">
        <v>3031</v>
      </c>
      <c r="E41" s="37">
        <v>3031</v>
      </c>
      <c r="F41" s="36">
        <f>Table132[[#This Row],[New position]]-Table132[[#This Row],[Old position]]</f>
        <v>0</v>
      </c>
      <c r="G41" s="37">
        <f>ROUND(Table132[[#This Row],[Target allocation ($)]]/(IF(G80&gt;0, G70,E70)*C14)*100,3)</f>
        <v>0.252</v>
      </c>
      <c r="H41" s="43">
        <f>Table132[[#This Row],[New position]]*Table132[[#This Row],[Last_Price]]</f>
        <v>540821.33000000007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85</v>
      </c>
      <c r="B42" s="48" t="s">
        <v>14</v>
      </c>
      <c r="C42" s="50">
        <v>127.48</v>
      </c>
      <c r="D42" s="37">
        <v>3380</v>
      </c>
      <c r="E42" s="37">
        <v>3380</v>
      </c>
      <c r="F42" s="36">
        <f>Table132[[#This Row],[New position]]-Table132[[#This Row],[Old position]]</f>
        <v>0</v>
      </c>
      <c r="G42" s="37">
        <f>ROUND(Table132[[#This Row],[Target allocation ($)]]/(IF(G80&gt;0, G70,E70)*C14)*100,3)</f>
        <v>0.20100000000000001</v>
      </c>
      <c r="H42" s="43">
        <f>Table132[[#This Row],[New position]]*Table132[[#This Row],[Last_Price]]</f>
        <v>430882.4</v>
      </c>
      <c r="I42" s="59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246.699720670391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($)]]/(IF(G80&gt;0, G70,E70)*C14)*100,3)</f>
        <v>0.104</v>
      </c>
      <c r="H43" s="43">
        <f>Table132[[#This Row],[New position]]*Table132[[#This Row],[Last_Price]]</f>
        <v>222029.74860335191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41.437740693196403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($)]]/(IF(G80&gt;0, G70,E70)*C14)*100,3)</f>
        <v>0.249</v>
      </c>
      <c r="H44" s="43">
        <f>Table132[[#This Row],[New position]]*Table132[[#This Row],[Last_Price]]</f>
        <v>534546.85494223365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9.7689345314505793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($)]]/(IF(G80&gt;0, G70,E70)*C14)*100,3)</f>
        <v>0.1</v>
      </c>
      <c r="H45" s="43">
        <f>Table132[[#This Row],[New position]]*Table132[[#This Row],[Last_Price]]</f>
        <v>214916.55969191276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15.4300385109114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($)]]/(IF(G80&gt;0, G70,E70)*C14)*100,3)</f>
        <v>0.112</v>
      </c>
      <c r="H46" s="43">
        <f>Table132[[#This Row],[New position]]*Table132[[#This Row],[Last_Price]]</f>
        <v>240708.60077021783</v>
      </c>
      <c r="I46" s="59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388.9</v>
      </c>
      <c r="D47" s="37">
        <v>72431</v>
      </c>
      <c r="E47" s="37">
        <v>82662</v>
      </c>
      <c r="F47" s="36">
        <f>Table132[[#This Row],[New position]]-Table132[[#This Row],[Old position]]</f>
        <v>10231</v>
      </c>
      <c r="G47" s="37">
        <f>ROUND(Table132[[#This Row],[Target allocation ($)]]/(IF(G80&gt;0, G70,E70)*C14)*100,3)</f>
        <v>15</v>
      </c>
      <c r="H47" s="43">
        <f>Table132[[#This Row],[New position]]*Table132[[#This Row],[Last_Price]]</f>
        <v>32147251.799999997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35</v>
      </c>
      <c r="B48" s="48" t="s">
        <v>14</v>
      </c>
      <c r="C48" s="50">
        <v>50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($)]]/(IF(G80&gt;0, G70,E70)*C14)*100,3)</f>
        <v>0.63800000000000001</v>
      </c>
      <c r="H48" s="43">
        <f>Table132[[#This Row],[New position]]*Table132[[#This Row],[Last_Price]]</f>
        <v>1367450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36</v>
      </c>
      <c r="B49" s="48" t="s">
        <v>14</v>
      </c>
      <c r="C49" s="50">
        <v>14.96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($)]]/(IF(G80&gt;0, G70,E70)*C14)*100,3)</f>
        <v>0.626</v>
      </c>
      <c r="H49" s="43">
        <f>Table132[[#This Row],[New position]]*Table132[[#This Row],[Last_Price]]</f>
        <v>1342136.4000000001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37</v>
      </c>
      <c r="B50" s="48" t="s">
        <v>14</v>
      </c>
      <c r="C50" s="50">
        <v>20.77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($)]]/(IF(G80&gt;0, G70,E70)*C14)*100,3)</f>
        <v>0.13500000000000001</v>
      </c>
      <c r="H50" s="43">
        <f>Table132[[#This Row],[New position]]*Table132[[#This Row],[Last_Price]]</f>
        <v>290094.58999999997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84</v>
      </c>
      <c r="B51" s="48" t="s">
        <v>14</v>
      </c>
      <c r="C51" s="50">
        <v>36.96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($)]]/(IF(G80&gt;0, G70,E70)*C14)*100,3)</f>
        <v>0.63400000000000001</v>
      </c>
      <c r="H51" s="43">
        <f>Table132[[#This Row],[New position]]*Table132[[#This Row],[Last_Price]]</f>
        <v>1358575.68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56</v>
      </c>
      <c r="B52" s="48" t="s">
        <v>14</v>
      </c>
      <c r="C52" s="50">
        <v>91.78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($)]]/(IF(G80&gt;0, G70,E70)*C14)*100,3)</f>
        <v>1.0089999999999999</v>
      </c>
      <c r="H52" s="43">
        <f>Table132[[#This Row],[New position]]*Table132[[#This Row],[Last_Price]]</f>
        <v>2163162.8199999998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57</v>
      </c>
      <c r="B53" s="48" t="s">
        <v>14</v>
      </c>
      <c r="C53" s="50">
        <v>50.24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($)]]/(IF(G80&gt;0, G70,E70)*C14)*100,3)</f>
        <v>0.252</v>
      </c>
      <c r="H53" s="43">
        <f>Table132[[#This Row],[New position]]*Table132[[#This Row],[Last_Price]]</f>
        <v>540632.64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42</v>
      </c>
      <c r="B54" s="48" t="s">
        <v>14</v>
      </c>
      <c r="C54" s="50">
        <v>77.61</v>
      </c>
      <c r="D54" s="37">
        <v>41200</v>
      </c>
      <c r="E54" s="37">
        <v>48325</v>
      </c>
      <c r="F54" s="36">
        <f>Table132[[#This Row],[New position]]-Table132[[#This Row],[Old position]]</f>
        <v>7125</v>
      </c>
      <c r="G54" s="37">
        <f>ROUND(Table132[[#This Row],[Target allocation ($)]]/(IF(G80&gt;0, G70,E70)*C14)*100,3)</f>
        <v>1.75</v>
      </c>
      <c r="H54" s="43">
        <f>Table132[[#This Row],[New position]]*Table132[[#This Row],[Last_Price]]</f>
        <v>3750503.25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43</v>
      </c>
      <c r="B55" s="48" t="s">
        <v>14</v>
      </c>
      <c r="C55" s="50">
        <v>67.709999999999994</v>
      </c>
      <c r="D55" s="37">
        <v>47481</v>
      </c>
      <c r="E55" s="37">
        <v>55391</v>
      </c>
      <c r="F55" s="36">
        <f>Table132[[#This Row],[New position]]-Table132[[#This Row],[Old position]]</f>
        <v>7910</v>
      </c>
      <c r="G55" s="37">
        <f>ROUND(Table132[[#This Row],[Target allocation ($)]]/(IF(G80&gt;0, G70,E70)*C14)*100,3)</f>
        <v>1.75</v>
      </c>
      <c r="H55" s="43">
        <f>Table132[[#This Row],[New position]]*Table132[[#This Row],[Last_Price]]</f>
        <v>3750524.61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58</v>
      </c>
      <c r="B56" s="48" t="s">
        <v>14</v>
      </c>
      <c r="C56" s="50">
        <v>89.95</v>
      </c>
      <c r="D56" s="37">
        <v>35225</v>
      </c>
      <c r="E56" s="37">
        <v>41696</v>
      </c>
      <c r="F56" s="36">
        <f>Table132[[#This Row],[New position]]-Table132[[#This Row],[Old position]]</f>
        <v>6471</v>
      </c>
      <c r="G56" s="37">
        <f>ROUND(Table132[[#This Row],[Target allocation ($)]]/(IF(G80&gt;0, G70,E70)*C14)*100,3)</f>
        <v>1.75</v>
      </c>
      <c r="H56" s="43">
        <f>Table132[[#This Row],[New position]]*Table132[[#This Row],[Last_Price]]</f>
        <v>3750555.2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59</v>
      </c>
      <c r="B57" s="48" t="s">
        <v>14</v>
      </c>
      <c r="C57" s="50">
        <v>4.91</v>
      </c>
      <c r="D57" s="37">
        <v>654557</v>
      </c>
      <c r="E57" s="37">
        <v>763852</v>
      </c>
      <c r="F57" s="36">
        <f>Table132[[#This Row],[New position]]-Table132[[#This Row],[Old position]]</f>
        <v>109295</v>
      </c>
      <c r="G57" s="37">
        <f>ROUND(Table132[[#This Row],[Target allocation ($)]]/(IF(G80&gt;0, G70,E70)*C14)*100,3)</f>
        <v>1.75</v>
      </c>
      <c r="H57" s="43">
        <f>Table132[[#This Row],[New position]]*Table132[[#This Row],[Last_Price]]</f>
        <v>3750513.3200000003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52</v>
      </c>
      <c r="B58" s="48" t="s">
        <v>14</v>
      </c>
      <c r="C58" s="50">
        <v>282.49</v>
      </c>
      <c r="D58" s="37">
        <v>11415</v>
      </c>
      <c r="E58" s="37">
        <v>13277</v>
      </c>
      <c r="F58" s="36">
        <f>Table132[[#This Row],[New position]]-Table132[[#This Row],[Old position]]</f>
        <v>1862</v>
      </c>
      <c r="G58" s="37">
        <f>ROUND(Table132[[#This Row],[Target allocation ($)]]/(IF(G80&gt;0, G70,E70)*C14)*100,3)</f>
        <v>1.75</v>
      </c>
      <c r="H58" s="43">
        <f>Table132[[#This Row],[New position]]*Table132[[#This Row],[Last_Price]]</f>
        <v>3750619.73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53</v>
      </c>
      <c r="B59" s="48" t="s">
        <v>14</v>
      </c>
      <c r="C59" s="50">
        <v>58.44</v>
      </c>
      <c r="D59" s="37">
        <v>55058</v>
      </c>
      <c r="E59" s="37">
        <v>64177</v>
      </c>
      <c r="F59" s="36">
        <f>Table132[[#This Row],[New position]]-Table132[[#This Row],[Old position]]</f>
        <v>9119</v>
      </c>
      <c r="G59" s="37">
        <f>ROUND(Table132[[#This Row],[Target allocation ($)]]/(IF(G80&gt;0, G70,E70)*C14)*100,3)</f>
        <v>1.75</v>
      </c>
      <c r="H59" s="43">
        <f>Table132[[#This Row],[New position]]*Table132[[#This Row],[Last_Price]]</f>
        <v>3750503.88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80</v>
      </c>
      <c r="B60" s="48" t="s">
        <v>14</v>
      </c>
      <c r="C60" s="50">
        <v>518.26</v>
      </c>
      <c r="D60" s="37">
        <v>6314</v>
      </c>
      <c r="E60" s="37">
        <v>7237</v>
      </c>
      <c r="F60" s="36">
        <f>Table132[[#This Row],[New position]]-Table132[[#This Row],[Old position]]</f>
        <v>923</v>
      </c>
      <c r="G60" s="37">
        <f>ROUND(Table132[[#This Row],[Target allocation ($)]]/(IF(G80&gt;0, G70,E70)*C14)*100,3)</f>
        <v>1.75</v>
      </c>
      <c r="H60" s="43">
        <f>Table132[[#This Row],[New position]]*Table132[[#This Row],[Last_Price]]</f>
        <v>3750647.62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81</v>
      </c>
      <c r="B61" s="48" t="s">
        <v>14</v>
      </c>
      <c r="C61" s="50">
        <v>104.72</v>
      </c>
      <c r="D61" s="37">
        <v>30538</v>
      </c>
      <c r="E61" s="37">
        <v>35815</v>
      </c>
      <c r="F61" s="36">
        <f>Table132[[#This Row],[New position]]-Table132[[#This Row],[Old position]]</f>
        <v>5277</v>
      </c>
      <c r="G61" s="37">
        <f>ROUND(Table132[[#This Row],[Target allocation ($)]]/(IF(G80&gt;0, G70,E70)*C14)*100,3)</f>
        <v>1.75</v>
      </c>
      <c r="H61" s="43">
        <f>Table132[[#This Row],[New position]]*Table132[[#This Row],[Last_Price]]</f>
        <v>3750546.8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82</v>
      </c>
      <c r="B62" s="48" t="s">
        <v>14</v>
      </c>
      <c r="C62" s="50">
        <v>35.86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($)]]/(IF(G80&gt;0, G70,E70)*C14)*100,3)</f>
        <v>0.60199999999999998</v>
      </c>
      <c r="H62" s="43">
        <f>Table132[[#This Row],[New position]]*Table132[[#This Row],[Last_Price]]</f>
        <v>1290960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83</v>
      </c>
      <c r="B63" s="48" t="s">
        <v>14</v>
      </c>
      <c r="C63" s="50">
        <v>113.6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($)]]/(IF(G80&gt;0, G70,E70)*C14)*100,3)</f>
        <v>0.64700000000000002</v>
      </c>
      <c r="H63" s="43">
        <f>Table132[[#This Row],[New position]]*Table132[[#This Row],[Last_Price]]</f>
        <v>1385920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86</v>
      </c>
      <c r="B64" s="48" t="s">
        <v>14</v>
      </c>
      <c r="C64" s="50">
        <v>186.58</v>
      </c>
      <c r="D64" s="37">
        <v>11608</v>
      </c>
      <c r="E64" s="37">
        <v>22973</v>
      </c>
      <c r="F64" s="36">
        <f>Table132[[#This Row],[New position]]-Table132[[#This Row],[Old position]]</f>
        <v>11365</v>
      </c>
      <c r="G64" s="37">
        <f>ROUND(Table132[[#This Row],[Target allocation ($)]]/(IF(G80&gt;0, G70,E70)*C14)*100,3)</f>
        <v>2</v>
      </c>
      <c r="H64" s="43">
        <f>Table132[[#This Row],[New position]]*Table132[[#This Row],[Last_Price]]</f>
        <v>4286302.34</v>
      </c>
      <c r="I64" s="59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50"/>
      <c r="D67" s="37"/>
      <c r="E67" s="37"/>
      <c r="F67" s="36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4"/>
      <c r="G68" s="37"/>
      <c r="H68" s="50"/>
      <c r="I68" s="52"/>
      <c r="L68"/>
      <c r="M68"/>
      <c r="N68"/>
      <c r="O68"/>
      <c r="P68"/>
      <c r="Q68"/>
      <c r="R68"/>
    </row>
    <row r="69" spans="1:18" x14ac:dyDescent="0.25">
      <c r="A69" s="48" t="s">
        <v>62</v>
      </c>
      <c r="B69" s="48"/>
      <c r="C69" s="49"/>
      <c r="D69" s="38"/>
      <c r="E69" s="60" t="s">
        <v>60</v>
      </c>
      <c r="F69" s="34"/>
      <c r="G69" s="61" t="s">
        <v>61</v>
      </c>
      <c r="H69" s="50"/>
      <c r="I69" s="52"/>
      <c r="L69"/>
      <c r="M69"/>
      <c r="N69"/>
      <c r="O69"/>
      <c r="P69"/>
      <c r="Q69"/>
      <c r="R69"/>
    </row>
    <row r="70" spans="1:18" ht="30" x14ac:dyDescent="0.25">
      <c r="A70" s="48" t="s">
        <v>32</v>
      </c>
      <c r="B70" s="48"/>
      <c r="C70" s="49"/>
      <c r="D70" s="38"/>
      <c r="E70" s="37">
        <f xml:space="preserve"> IF(G80&gt;0, (C15+ABS(G80*G70))/C11, C15/C11)</f>
        <v>5.824433</v>
      </c>
      <c r="F70" s="34"/>
      <c r="G70" s="37">
        <v>5.824433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37" t="s">
        <v>44</v>
      </c>
      <c r="B71" s="37"/>
      <c r="C71" s="37"/>
      <c r="D71" s="51" t="str">
        <f>Table132[[#This Row],[Symbol]]</f>
        <v>SingleStocks</v>
      </c>
      <c r="E71" s="37">
        <f>ROUND(SUM(G18:G42)/100, 3)</f>
        <v>9.2999999999999999E-2</v>
      </c>
      <c r="F71" s="51" t="str">
        <f>Table132[[#This Row],[Symbol]]</f>
        <v>SingleStocks</v>
      </c>
      <c r="G71" s="37">
        <f>SUM(H18:H42)/(G70*C14)</f>
        <v>9.2497881271402682E-2</v>
      </c>
      <c r="H71" s="37"/>
      <c r="I71" s="30"/>
      <c r="L71"/>
      <c r="M71"/>
      <c r="N71"/>
      <c r="O71"/>
      <c r="P71"/>
      <c r="Q71"/>
      <c r="R71"/>
    </row>
    <row r="72" spans="1:18" ht="30" x14ac:dyDescent="0.25">
      <c r="A72" s="48" t="s">
        <v>54</v>
      </c>
      <c r="B72" s="48"/>
      <c r="C72" s="49"/>
      <c r="D72" s="38"/>
      <c r="E72" s="37">
        <f>ROUND(SUM(G43:G46)/100, 3)</f>
        <v>6.0000000000000001E-3</v>
      </c>
      <c r="F72" s="51" t="str">
        <f>Table132[[#This Row],[Symbol]]</f>
        <v>International Stocks</v>
      </c>
      <c r="G72" s="37">
        <f>SUM(H43:H46)/(G70*C14)</f>
        <v>5.6561667651693834E-3</v>
      </c>
      <c r="H72" s="50"/>
      <c r="I72" s="58"/>
      <c r="L72"/>
      <c r="M72"/>
      <c r="N72"/>
      <c r="O72"/>
      <c r="P72"/>
      <c r="Q72"/>
      <c r="R72"/>
    </row>
    <row r="73" spans="1:18" x14ac:dyDescent="0.25">
      <c r="A73" s="48" t="s">
        <v>11</v>
      </c>
      <c r="B73" s="48"/>
      <c r="C73" s="49"/>
      <c r="D73" s="51" t="str">
        <f>Table132[[#This Row],[Symbol]]</f>
        <v>QQQ</v>
      </c>
      <c r="E73" s="57">
        <f>ROUND(SUM(G47)/100, 3)</f>
        <v>0.15</v>
      </c>
      <c r="F73" s="51" t="str">
        <f>Table132[[#This Row],[Symbol]]</f>
        <v>QQQ</v>
      </c>
      <c r="G73" s="37">
        <f>SUM(H47)/(G70*C14)</f>
        <v>0.14999996091536313</v>
      </c>
      <c r="H73" s="50"/>
      <c r="I73" s="30"/>
      <c r="L73"/>
      <c r="M73"/>
      <c r="N73"/>
      <c r="O73"/>
      <c r="P73"/>
      <c r="Q73"/>
      <c r="R73"/>
    </row>
    <row r="74" spans="1:18" x14ac:dyDescent="0.25">
      <c r="A74" s="48" t="s">
        <v>50</v>
      </c>
      <c r="B74" s="48"/>
      <c r="C74" s="49"/>
      <c r="D74" s="38"/>
      <c r="E74" s="57">
        <f>ROUND(SUM(0)/100, 3)</f>
        <v>0</v>
      </c>
      <c r="F74" s="51" t="str">
        <f>Table132[[#This Row],[Symbol]]</f>
        <v>ETF</v>
      </c>
      <c r="G74" s="37">
        <f>SUM(0)/(G71*C14)</f>
        <v>0</v>
      </c>
      <c r="H74" s="50"/>
      <c r="I74" s="58"/>
      <c r="L74"/>
      <c r="M74"/>
      <c r="N74"/>
      <c r="O74"/>
      <c r="P74"/>
      <c r="Q74"/>
      <c r="R74"/>
    </row>
    <row r="75" spans="1:18" x14ac:dyDescent="0.25">
      <c r="A75" s="37" t="s">
        <v>27</v>
      </c>
      <c r="B75" s="48"/>
      <c r="C75" s="49"/>
      <c r="D75" s="51" t="str">
        <f>Table132[[#This Row],[Symbol]]</f>
        <v>Bonds</v>
      </c>
      <c r="E75" s="57">
        <f>ROUND(SUM(G52:G61)/100, 3)</f>
        <v>0.153</v>
      </c>
      <c r="F75" s="51" t="str">
        <f>Table132[[#This Row],[Symbol]]</f>
        <v>Bonds</v>
      </c>
      <c r="G75" s="37">
        <f>SUM(H52:H61)/(G70*C14)</f>
        <v>0.15261740669575666</v>
      </c>
      <c r="H75" s="50"/>
      <c r="I75" s="30"/>
      <c r="L75"/>
      <c r="M75"/>
      <c r="N75"/>
      <c r="O75"/>
      <c r="P75"/>
      <c r="Q75"/>
      <c r="R75"/>
    </row>
    <row r="76" spans="1:18" x14ac:dyDescent="0.25">
      <c r="A76" s="48" t="s">
        <v>46</v>
      </c>
      <c r="B76" s="37"/>
      <c r="C76" s="37"/>
      <c r="D76" s="51" t="str">
        <f>Table132[[#This Row],[Symbol]]</f>
        <v>Gold</v>
      </c>
      <c r="E76" s="37">
        <f>ROUND(SUM(G64)/100,3)</f>
        <v>0.02</v>
      </c>
      <c r="F76" s="51" t="str">
        <f>Table132[[#This Row],[Symbol]]</f>
        <v>Gold</v>
      </c>
      <c r="G76" s="37">
        <f>SUM(H64)/(G70*C14)</f>
        <v>2.0000004587372833E-2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1" t="str">
        <f>Table132[[#This Row],[Symbol]]</f>
        <v>Commodities</v>
      </c>
      <c r="E77" s="37">
        <f>ROUND(SUM(G48:G51)/100,3)</f>
        <v>0.02</v>
      </c>
      <c r="F77" s="51" t="str">
        <f>Table132[[#This Row],[Symbol]]</f>
        <v>Commodities</v>
      </c>
      <c r="G77" s="37">
        <f>SUM(H48:H51)/(G70*C14)</f>
        <v>2.0335745469823356E-2</v>
      </c>
      <c r="H77" s="37"/>
      <c r="I77" s="32"/>
      <c r="L77"/>
      <c r="M77"/>
      <c r="N77"/>
      <c r="O77"/>
      <c r="P77"/>
      <c r="Q77"/>
      <c r="R77"/>
    </row>
    <row r="78" spans="1:18" x14ac:dyDescent="0.25">
      <c r="A78" s="48" t="s">
        <v>45</v>
      </c>
      <c r="B78" s="48"/>
      <c r="C78" s="49"/>
      <c r="D78" s="51" t="str">
        <f>Table132[[#This Row],[Symbol]]</f>
        <v>Crypto</v>
      </c>
      <c r="E78" s="57">
        <f>ROUND(SUM(G62:G63)/100,3)</f>
        <v>1.2E-2</v>
      </c>
      <c r="F78" s="51" t="str">
        <f>Table132[[#This Row],[Symbol]]</f>
        <v>Crypto</v>
      </c>
      <c r="G78" s="37">
        <f>SUM(H62:H63)/(G70*C14)</f>
        <v>1.2490395691463657E-2</v>
      </c>
      <c r="H78" s="50"/>
      <c r="I78" s="56"/>
      <c r="L78"/>
      <c r="M78"/>
      <c r="N78"/>
      <c r="O78"/>
      <c r="P78"/>
      <c r="Q78"/>
      <c r="R78"/>
    </row>
    <row r="79" spans="1:18" x14ac:dyDescent="0.25">
      <c r="A79" s="37" t="s">
        <v>23</v>
      </c>
      <c r="B79" s="37"/>
      <c r="C79" s="37"/>
      <c r="D79" s="51" t="str">
        <f>Table132[[#This Row],[Symbol]]</f>
        <v>Cash</v>
      </c>
      <c r="E79" s="37">
        <f>1-SUM(E71:E78)</f>
        <v>0.54599999999999993</v>
      </c>
      <c r="F79" s="51" t="str">
        <f>Table132[[#This Row],[Symbol]]</f>
        <v>Cash</v>
      </c>
      <c r="G79" s="37">
        <f>1-SUM(G71:G78)</f>
        <v>0.54640243860364834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C14*E79</f>
        <v>20090543.927999996</v>
      </c>
      <c r="F80" s="34"/>
      <c r="G80" s="37">
        <f>C14*G79</f>
        <v>20105352.005737949</v>
      </c>
      <c r="H80" s="43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3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4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4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5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2023-11-27T10:53:05Z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