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793" documentId="14_{A48F4B07-3EF3-43E5-91B2-4CA340E6013A}" xr6:coauthVersionLast="47" xr6:coauthVersionMax="47" xr10:uidLastSave="{29F8AF05-13D9-45BF-B708-7AFE3713F9E9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" i="3" l="1"/>
  <c r="G79" i="3"/>
  <c r="C10" i="3"/>
  <c r="C6" i="3"/>
  <c r="C4" i="3"/>
  <c r="F72" i="3"/>
  <c r="H44" i="3" l="1"/>
  <c r="H64" i="3"/>
  <c r="F64" i="3" l="1"/>
  <c r="F30" i="3" l="1"/>
  <c r="H42" i="3"/>
  <c r="H43" i="3"/>
  <c r="H45" i="3"/>
  <c r="H46" i="3"/>
  <c r="H47" i="3"/>
  <c r="H48" i="3"/>
  <c r="H49" i="3"/>
  <c r="H50" i="3"/>
  <c r="H51" i="3"/>
  <c r="H52" i="3"/>
  <c r="C8" i="3" s="1"/>
  <c r="H53" i="3"/>
  <c r="H54" i="3"/>
  <c r="H55" i="3"/>
  <c r="H56" i="3"/>
  <c r="H57" i="3"/>
  <c r="H58" i="3"/>
  <c r="H59" i="3"/>
  <c r="H60" i="3"/>
  <c r="H61" i="3"/>
  <c r="H62" i="3"/>
  <c r="H63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C11" i="3" l="1"/>
  <c r="C9" i="3"/>
  <c r="C5" i="3"/>
  <c r="F34" i="3"/>
  <c r="F35" i="3"/>
  <c r="F36" i="3"/>
  <c r="F37" i="3"/>
  <c r="F38" i="3"/>
  <c r="F39" i="3"/>
  <c r="F40" i="3"/>
  <c r="F41" i="3"/>
  <c r="E75" i="3"/>
  <c r="H40" i="3"/>
  <c r="H41" i="3"/>
  <c r="H34" i="3" l="1"/>
  <c r="H35" i="3"/>
  <c r="H30" i="3"/>
  <c r="F73" i="3"/>
  <c r="H38" i="3" l="1"/>
  <c r="H39" i="3"/>
  <c r="H31" i="3"/>
  <c r="F75" i="3"/>
  <c r="H37" i="3"/>
  <c r="D80" i="3"/>
  <c r="D79" i="3"/>
  <c r="D78" i="3"/>
  <c r="D77" i="3"/>
  <c r="D76" i="3"/>
  <c r="D74" i="3"/>
  <c r="D71" i="3"/>
  <c r="H33" i="3" l="1"/>
  <c r="H32" i="3"/>
  <c r="H29" i="3" l="1"/>
  <c r="H28" i="3"/>
  <c r="H27" i="3"/>
  <c r="F80" i="3"/>
  <c r="F78" i="3"/>
  <c r="F79" i="3"/>
  <c r="F71" i="3"/>
  <c r="F74" i="3"/>
  <c r="F76" i="3"/>
  <c r="F77" i="3"/>
  <c r="H36" i="3"/>
  <c r="H19" i="3" l="1"/>
  <c r="H20" i="3"/>
  <c r="H21" i="3"/>
  <c r="H22" i="3"/>
  <c r="H23" i="3"/>
  <c r="H24" i="3"/>
  <c r="H25" i="3"/>
  <c r="H26" i="3"/>
  <c r="C3" i="3" l="1"/>
  <c r="C16" i="3" a="1"/>
  <c r="C16" i="3" s="1"/>
  <c r="F29" i="3"/>
  <c r="F27" i="3"/>
  <c r="F32" i="3"/>
  <c r="F19" i="3" l="1"/>
  <c r="F20" i="3"/>
  <c r="F21" i="3"/>
  <c r="F22" i="3"/>
  <c r="F23" i="3"/>
  <c r="F24" i="3"/>
  <c r="F25" i="3"/>
  <c r="F26" i="3"/>
  <c r="F28" i="3"/>
  <c r="F31" i="3"/>
  <c r="F33" i="3"/>
  <c r="C15" i="3"/>
  <c r="G77" i="3" l="1"/>
  <c r="G74" i="3"/>
  <c r="G76" i="3"/>
  <c r="G78" i="3"/>
  <c r="G73" i="3"/>
  <c r="G72" i="3"/>
  <c r="G71" i="3"/>
  <c r="G75" i="3" s="1"/>
  <c r="C7" i="3"/>
  <c r="C2" i="3"/>
  <c r="G80" i="3" l="1"/>
  <c r="G81" i="3" s="1"/>
  <c r="G48" i="3" s="1"/>
  <c r="E70" i="3" l="1"/>
  <c r="G64" i="3"/>
  <c r="E77" i="3" s="1"/>
  <c r="G50" i="3"/>
  <c r="G49" i="3"/>
  <c r="G63" i="3"/>
  <c r="G51" i="3"/>
  <c r="E78" i="3" l="1"/>
  <c r="G59" i="3"/>
  <c r="G55" i="3"/>
  <c r="G60" i="3"/>
  <c r="G41" i="3"/>
  <c r="G58" i="3"/>
  <c r="G42" i="3"/>
  <c r="G43" i="3"/>
  <c r="G34" i="3"/>
  <c r="G39" i="3"/>
  <c r="G47" i="3"/>
  <c r="E74" i="3" s="1"/>
  <c r="G30" i="3"/>
  <c r="G45" i="3"/>
  <c r="G53" i="3"/>
  <c r="G40" i="3"/>
  <c r="G54" i="3"/>
  <c r="G61" i="3"/>
  <c r="G44" i="3"/>
  <c r="G33" i="3"/>
  <c r="G62" i="3"/>
  <c r="G35" i="3"/>
  <c r="G46" i="3"/>
  <c r="G29" i="3"/>
  <c r="G57" i="3"/>
  <c r="G52" i="3"/>
  <c r="G56" i="3"/>
  <c r="G24" i="3"/>
  <c r="G19" i="3"/>
  <c r="G25" i="3"/>
  <c r="G26" i="3"/>
  <c r="G32" i="3"/>
  <c r="G37" i="3"/>
  <c r="G36" i="3"/>
  <c r="G21" i="3"/>
  <c r="G27" i="3"/>
  <c r="G31" i="3"/>
  <c r="G23" i="3"/>
  <c r="G22" i="3"/>
  <c r="G38" i="3"/>
  <c r="G20" i="3"/>
  <c r="G28" i="3"/>
  <c r="E76" i="3" l="1"/>
  <c r="E71" i="3"/>
  <c r="E73" i="3"/>
  <c r="E72" i="3"/>
  <c r="E80" i="3" l="1"/>
  <c r="E81" i="3" s="1"/>
</calcChain>
</file>

<file path=xl/sharedStrings.xml><?xml version="1.0" encoding="utf-8"?>
<sst xmlns="http://schemas.openxmlformats.org/spreadsheetml/2006/main" count="135" uniqueCount="88">
  <si>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</si>
  <si>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</si>
  <si>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</si>
  <si>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</si>
  <si>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</si>
  <si>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</si>
  <si>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</si>
  <si>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</si>
  <si>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</si>
  <si>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</si>
  <si>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</si>
  <si>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</si>
  <si>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</si>
  <si>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</si>
  <si>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</si>
  <si>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</si>
  <si>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</si>
  <si>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</si>
  <si>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</si>
  <si>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</si>
  <si>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</si>
  <si>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</si>
  <si>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</si>
  <si>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</si>
  <si>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</si>
  <si>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</si>
  <si>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</si>
  <si>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</si>
  <si>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</si>
  <si>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</si>
  <si>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</si>
  <si>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</si>
  <si>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</si>
  <si>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</si>
  <si>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</si>
  <si>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</si>
  <si>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</si>
  <si>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</si>
  <si>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</si>
  <si>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</si>
  <si>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</si>
  <si>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</si>
  <si>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</si>
  <si>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</si>
  <si>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</si>
  <si>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</si>
  <si>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</si>
  <si>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</si>
  <si>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</si>
  <si>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</si>
  <si>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</si>
  <si>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</si>
  <si>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</si>
  <si>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</si>
  <si>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</si>
  <si>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</si>
  <si>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</si>
  <si>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</si>
  <si>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</si>
  <si>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</si>
  <si>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</si>
  <si>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</si>
  <si>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</si>
  <si>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</si>
  <si>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</si>
  <si>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</si>
  <si>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</si>
  <si>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</si>
  <si>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</si>
  <si>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</si>
  <si>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</si>
  <si>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</si>
  <si>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</si>
  <si>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</si>
  <si>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</si>
  <si>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</si>
  <si>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</si>
  <si>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</si>
  <si>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</si>
  <si>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</si>
  <si>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</si>
  <si>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</si>
  <si>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</si>
  <si>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</si>
  <si>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</si>
  <si>
    <t>MRK</t>
  </si>
  <si>
    <t>S&amp;P500 Bull</t>
  </si>
  <si>
    <t>Leverage for S&amp;P 500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</si>
</sst>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Sheet1!$D$71:$D$80</c:f>
              <c:strCache>
                <c:ptCount val="10"/>
                <c:pt idx="0">
                  <c:v>SingleStocks</c:v>
                </c:pt>
                <c:pt idx="3">
                  <c:v>QQQ</c:v>
                </c:pt>
                <c:pt idx="5">
                  <c:v>Bonds</c:v>
                </c:pt>
                <c:pt idx="6">
                  <c:v>Gold</c:v>
                </c:pt>
                <c:pt idx="7">
                  <c:v>Commodities</c:v>
                </c:pt>
                <c:pt idx="8">
                  <c:v>Crypto</c:v>
                </c:pt>
                <c:pt idx="9">
                  <c:v>Cash</c:v>
                </c:pt>
              </c:strCache>
            </c:strRef>
          </c:cat>
          <c:val>
            <c:numRef>
              <c:f>Sheet1!$E$71:$E$80</c:f>
              <c:numCache>
                <c:formatCode>General</c:formatCode>
                <c:ptCount val="10"/>
                <c:pt idx="0">
                  <c:v>5.3999999999999999E-2</c:v>
                </c:pt>
                <c:pt idx="1">
                  <c:v>5.7000000000000002E-2</c:v>
                </c:pt>
                <c:pt idx="2">
                  <c:v>5.0000000000000001E-3</c:v>
                </c:pt>
                <c:pt idx="3">
                  <c:v>0.19</c:v>
                </c:pt>
                <c:pt idx="4">
                  <c:v>0</c:v>
                </c:pt>
                <c:pt idx="5">
                  <c:v>0.192</c:v>
                </c:pt>
                <c:pt idx="6">
                  <c:v>0.05</c:v>
                </c:pt>
                <c:pt idx="7">
                  <c:v>0.02</c:v>
                </c:pt>
                <c:pt idx="8">
                  <c:v>1.2999999999999999E-2</c:v>
                </c:pt>
                <c:pt idx="9">
                  <c:v>0.41899999999999993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7</xdr:row>
      <xdr:rowOff>84324</xdr:rowOff>
    </xdr:from>
    <xdr:to>
      <xdr:col>8</xdr:col>
      <xdr:colOff>2072929</xdr:colOff>
      <xdr:row>10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15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8:I84" totalsRowShown="0" headerRowDxfId="13" dataDxfId="11" headerRowBorderDxfId="12" tableBorderDxfId="10" totalsRowBorderDxfId="9">
  <autoFilter ref="A18:I84" xr:uid="{00000000-0009-0000-0100-000001000000}"/>
  <sortState xmlns:xlrd2="http://schemas.microsoft.com/office/spreadsheetml/2017/richdata2" ref="A19:I83">
    <sortCondition ref="A18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2"/>
  <sheetViews>
    <sheetView tabSelected="1" topLeftCell="A34" zoomScale="115" zoomScaleNormal="115" workbookViewId="0">
      <selection activeCell="K45" sqref="K4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4" t="s">
        <v>0</v>
      </c>
      <c r="B1" s="64"/>
      <c r="C1" s="12">
        <v>45259</v>
      </c>
      <c r="E1" s="14"/>
      <c r="F1" s="14"/>
      <c r="G1" s="47"/>
      <c r="H1" s="14"/>
    </row>
    <row r="2" spans="1:10" s="13" customFormat="1" x14ac:dyDescent="0.25">
      <c r="A2" s="64" t="s">
        <v>10</v>
      </c>
      <c r="B2" s="64"/>
      <c r="C2" s="15">
        <f>C16/C15</f>
        <v>3.3896194677105114</v>
      </c>
      <c r="D2"/>
      <c r="E2" s="24"/>
      <c r="F2" s="17"/>
      <c r="G2" s="17"/>
      <c r="H2" s="16"/>
    </row>
    <row r="3" spans="1:10" s="13" customFormat="1" x14ac:dyDescent="0.25">
      <c r="A3" s="66" t="s">
        <v>47</v>
      </c>
      <c r="B3" s="67"/>
      <c r="C3" s="15">
        <f>SUM(H19:H40)/C15</f>
        <v>0.31318565673256432</v>
      </c>
      <c r="D3"/>
      <c r="E3" s="24"/>
      <c r="F3" s="17"/>
      <c r="G3" s="17"/>
      <c r="H3" s="16"/>
    </row>
    <row r="4" spans="1:10" s="13" customFormat="1" x14ac:dyDescent="0.25">
      <c r="A4" s="62" t="s">
        <v>87</v>
      </c>
      <c r="B4" s="63"/>
      <c r="C4" s="15">
        <f>SUM(H41:H42)/C15</f>
        <v>0.33199325982092726</v>
      </c>
      <c r="D4"/>
      <c r="E4" s="24"/>
      <c r="F4" s="17"/>
      <c r="G4" s="17"/>
      <c r="H4" s="16"/>
    </row>
    <row r="5" spans="1:10" s="13" customFormat="1" x14ac:dyDescent="0.25">
      <c r="A5" s="66" t="s">
        <v>54</v>
      </c>
      <c r="B5" s="67"/>
      <c r="C5" s="15">
        <f>SUM(H43:H46)/C15</f>
        <v>3.1647292373811538E-2</v>
      </c>
      <c r="D5"/>
      <c r="E5" s="24"/>
      <c r="F5" s="17"/>
      <c r="G5" s="17"/>
      <c r="H5" s="16"/>
    </row>
    <row r="6" spans="1:10" s="13" customFormat="1" x14ac:dyDescent="0.25">
      <c r="A6" s="66" t="s">
        <v>30</v>
      </c>
      <c r="B6" s="67"/>
      <c r="C6" s="15">
        <f>H47/C15</f>
        <v>1.1066472617583847</v>
      </c>
      <c r="D6"/>
      <c r="E6" s="24"/>
      <c r="F6" s="17"/>
      <c r="G6" s="17"/>
      <c r="H6" s="16"/>
    </row>
    <row r="7" spans="1:10" s="13" customFormat="1" x14ac:dyDescent="0.25">
      <c r="A7" s="66" t="s">
        <v>50</v>
      </c>
      <c r="B7" s="67"/>
      <c r="C7" s="15">
        <f>0/C15</f>
        <v>0</v>
      </c>
      <c r="D7"/>
      <c r="E7" s="24"/>
      <c r="F7" s="17"/>
      <c r="G7" s="17"/>
      <c r="H7" s="16"/>
    </row>
    <row r="8" spans="1:10" s="13" customFormat="1" x14ac:dyDescent="0.25">
      <c r="A8" s="66" t="s">
        <v>25</v>
      </c>
      <c r="B8" s="67"/>
      <c r="C8" s="15">
        <f>SUM(H52:H61)/C15</f>
        <v>1.1207729880039563</v>
      </c>
      <c r="D8"/>
      <c r="E8" s="24"/>
      <c r="F8" s="17"/>
      <c r="G8" s="17"/>
      <c r="H8" s="16"/>
    </row>
    <row r="9" spans="1:10" s="13" customFormat="1" x14ac:dyDescent="0.25">
      <c r="A9" s="66" t="s">
        <v>26</v>
      </c>
      <c r="B9" s="67"/>
      <c r="C9" s="15">
        <f>SUM(H48:H51)/C15</f>
        <v>0.11649100619080292</v>
      </c>
      <c r="D9"/>
      <c r="E9" s="24"/>
      <c r="F9" s="17"/>
      <c r="G9" s="17"/>
      <c r="H9" s="16"/>
    </row>
    <row r="10" spans="1:10" s="13" customFormat="1" x14ac:dyDescent="0.25">
      <c r="A10" s="66" t="s">
        <v>48</v>
      </c>
      <c r="B10" s="67"/>
      <c r="C10" s="15">
        <f>SUM(H64)/C15</f>
        <v>0.29122165008020179</v>
      </c>
      <c r="D10"/>
      <c r="E10" s="24"/>
      <c r="F10" s="17"/>
      <c r="G10" s="17"/>
      <c r="H10" s="16"/>
    </row>
    <row r="11" spans="1:10" s="13" customFormat="1" ht="27.75" customHeight="1" x14ac:dyDescent="0.25">
      <c r="A11" s="65" t="s">
        <v>46</v>
      </c>
      <c r="B11" s="65"/>
      <c r="C11" s="15">
        <f>SUM(H62:H63)/C15</f>
        <v>7.7660352749862979E-2</v>
      </c>
      <c r="D11" s="23"/>
      <c r="E11" s="16"/>
      <c r="F11" s="17"/>
      <c r="G11" s="17"/>
      <c r="H11" s="16"/>
    </row>
    <row r="12" spans="1:10" s="13" customFormat="1" ht="12.75" x14ac:dyDescent="0.25">
      <c r="A12" s="64" t="s">
        <v>8</v>
      </c>
      <c r="B12" s="64"/>
      <c r="C12" s="18">
        <v>37374282.979999997</v>
      </c>
      <c r="D12" s="25"/>
      <c r="E12" s="17"/>
      <c r="F12" s="17"/>
      <c r="G12" s="17"/>
      <c r="H12" s="16"/>
    </row>
    <row r="13" spans="1:10" s="13" customFormat="1" ht="12.75" x14ac:dyDescent="0.25">
      <c r="A13" s="64" t="s">
        <v>6</v>
      </c>
      <c r="B13" s="64"/>
      <c r="C13" s="18">
        <v>0</v>
      </c>
      <c r="F13" s="17"/>
      <c r="H13" s="40"/>
    </row>
    <row r="14" spans="1:10" s="13" customFormat="1" ht="12.75" x14ac:dyDescent="0.25">
      <c r="A14" s="64" t="s">
        <v>7</v>
      </c>
      <c r="B14" s="64"/>
      <c r="C14" s="18">
        <v>0</v>
      </c>
      <c r="D14" s="22"/>
      <c r="E14" s="17"/>
      <c r="F14" s="17"/>
      <c r="G14" s="17"/>
      <c r="H14" s="16"/>
    </row>
    <row r="15" spans="1:10" s="13" customFormat="1" ht="12.75" x14ac:dyDescent="0.25">
      <c r="A15" s="64" t="s">
        <v>9</v>
      </c>
      <c r="B15" s="64"/>
      <c r="C15" s="18">
        <f>C12+C13-C14</f>
        <v>37374282.979999997</v>
      </c>
      <c r="D15" s="22"/>
      <c r="E15" s="17"/>
      <c r="F15" s="17"/>
      <c r="G15" s="17"/>
      <c r="H15" s="16"/>
    </row>
    <row r="16" spans="1:10" s="13" customFormat="1" ht="27.75" customHeight="1" x14ac:dyDescent="0.25">
      <c r="A16" s="65" t="s">
        <v>5</v>
      </c>
      <c r="B16" s="65"/>
      <c r="C16" s="11">
        <f t="array" ref="C16">SUM(ABS(Table132[Target allocation ($)]))</f>
        <v>126684597.18072961</v>
      </c>
      <c r="D16" s="22" t="s">
        <v>22</v>
      </c>
      <c r="E16" s="17"/>
      <c r="F16" s="17"/>
      <c r="G16" s="17"/>
      <c r="H16" s="16"/>
      <c r="J16" s="19"/>
    </row>
    <row r="17" spans="1:18" s="8" customFormat="1" ht="2.25" customHeight="1" x14ac:dyDescent="0.2">
      <c r="A17" s="6"/>
      <c r="B17" s="6"/>
      <c r="C17" s="4"/>
      <c r="D17" s="1"/>
      <c r="E17" s="1"/>
      <c r="F17" s="1"/>
      <c r="G17" s="1"/>
      <c r="H17" s="41"/>
      <c r="I17" s="1"/>
    </row>
    <row r="18" spans="1:18" s="2" customFormat="1" ht="12.75" x14ac:dyDescent="0.25">
      <c r="A18" s="7" t="s">
        <v>12</v>
      </c>
      <c r="B18" s="7" t="s">
        <v>13</v>
      </c>
      <c r="C18" s="7" t="s">
        <v>15</v>
      </c>
      <c r="D18" s="7" t="s">
        <v>16</v>
      </c>
      <c r="E18" s="7" t="s">
        <v>17</v>
      </c>
      <c r="F18" s="9" t="s">
        <v>4</v>
      </c>
      <c r="G18" s="7" t="s">
        <v>18</v>
      </c>
      <c r="H18" s="42" t="s">
        <v>19</v>
      </c>
      <c r="I18" s="10" t="s">
        <v>1</v>
      </c>
    </row>
    <row r="19" spans="1:18" x14ac:dyDescent="0.25">
      <c r="A19" s="37" t="s">
        <v>31</v>
      </c>
      <c r="B19" s="37" t="s">
        <v>14</v>
      </c>
      <c r="C19" s="50">
        <v>41.87</v>
      </c>
      <c r="D19" s="37">
        <v>12705</v>
      </c>
      <c r="E19" s="37">
        <v>12705</v>
      </c>
      <c r="F19" s="36">
        <f>Table132[[#This Row],[New position]]-Table132[[#This Row],[Old position]]</f>
        <v>0</v>
      </c>
      <c r="G19" s="37">
        <f>ROUND(Table132[[#This Row],[Target allocation ($)]]/(IF(G81&gt;0, G70,E70)*C15)*100,3)</f>
        <v>0.24399999999999999</v>
      </c>
      <c r="H19" s="43">
        <f>Table132[[#This Row],[New position]]*Table132[[#This Row],[Last_Price]]</f>
        <v>531958.35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33</v>
      </c>
      <c r="B20" s="37" t="s">
        <v>14</v>
      </c>
      <c r="C20" s="50">
        <v>201.3</v>
      </c>
      <c r="D20" s="37">
        <v>2743</v>
      </c>
      <c r="E20" s="37">
        <v>2743</v>
      </c>
      <c r="F20" s="36">
        <f>Table132[[#This Row],[New position]]-Table132[[#This Row],[Old position]]</f>
        <v>0</v>
      </c>
      <c r="G20" s="37">
        <f>ROUND(Table132[[#This Row],[Target allocation ($)]]/(IF(G81&gt;0, G70,E70)*C15)*100,3)</f>
        <v>0.254</v>
      </c>
      <c r="H20" s="43">
        <f>Table132[[#This Row],[New position]]*Table132[[#This Row],[Last_Price]]</f>
        <v>552165.9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37</v>
      </c>
      <c r="B21" s="37" t="s">
        <v>14</v>
      </c>
      <c r="C21" s="50">
        <v>52.79</v>
      </c>
      <c r="D21" s="37">
        <v>10691</v>
      </c>
      <c r="E21" s="37">
        <v>10691</v>
      </c>
      <c r="F21" s="36">
        <f>Table132[[#This Row],[New position]]-Table132[[#This Row],[Old position]]</f>
        <v>0</v>
      </c>
      <c r="G21" s="37">
        <f>ROUND(Table132[[#This Row],[Target allocation ($)]]/(IF(G81&gt;0, G70,E70)*C15)*100,3)</f>
        <v>0.25900000000000001</v>
      </c>
      <c r="H21" s="43">
        <f>Table132[[#This Row],[New position]]*Table132[[#This Row],[Last_Price]]</f>
        <v>564377.89</v>
      </c>
      <c r="I21" s="29"/>
      <c r="L21"/>
      <c r="M21"/>
      <c r="N21"/>
      <c r="O21"/>
      <c r="P21"/>
      <c r="Q21"/>
      <c r="R21"/>
    </row>
    <row r="22" spans="1:18" x14ac:dyDescent="0.25">
      <c r="A22" s="37" t="s">
        <v>38</v>
      </c>
      <c r="B22" s="37" t="s">
        <v>14</v>
      </c>
      <c r="C22" s="50">
        <v>136.9</v>
      </c>
      <c r="D22" s="37">
        <v>3986</v>
      </c>
      <c r="E22" s="37">
        <v>3986</v>
      </c>
      <c r="F22" s="36">
        <f>Table132[[#This Row],[New position]]-Table132[[#This Row],[Old position]]</f>
        <v>0</v>
      </c>
      <c r="G22" s="37">
        <f>ROUND(Table132[[#This Row],[Target allocation ($)]]/(IF(G81&gt;0, G70,E70)*C15)*100,3)</f>
        <v>0.251</v>
      </c>
      <c r="H22" s="43">
        <f>Table132[[#This Row],[New position]]*Table132[[#This Row],[Last_Price]]</f>
        <v>545683.4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39</v>
      </c>
      <c r="B23" s="37" t="s">
        <v>14</v>
      </c>
      <c r="C23" s="50">
        <v>214.16</v>
      </c>
      <c r="D23" s="37">
        <v>2537</v>
      </c>
      <c r="E23" s="37">
        <v>2537</v>
      </c>
      <c r="F23" s="36">
        <f>Table132[[#This Row],[New position]]-Table132[[#This Row],[Old position]]</f>
        <v>0</v>
      </c>
      <c r="G23" s="37">
        <f>ROUND(Table132[[#This Row],[Target allocation ($)]]/(IF(G81&gt;0, G70,E70)*C15)*100,3)</f>
        <v>0.25</v>
      </c>
      <c r="H23" s="43">
        <f>Table132[[#This Row],[New position]]*Table132[[#This Row],[Last_Price]]</f>
        <v>543323.92000000004</v>
      </c>
      <c r="I23" s="53"/>
      <c r="M23"/>
      <c r="N23"/>
      <c r="O23"/>
      <c r="P23"/>
      <c r="Q23"/>
      <c r="R23"/>
    </row>
    <row r="24" spans="1:18" x14ac:dyDescent="0.25">
      <c r="A24" s="37" t="s">
        <v>40</v>
      </c>
      <c r="B24" s="37" t="s">
        <v>14</v>
      </c>
      <c r="C24" s="50">
        <v>2206.67</v>
      </c>
      <c r="D24" s="37">
        <v>246</v>
      </c>
      <c r="E24" s="37">
        <v>246</v>
      </c>
      <c r="F24" s="36">
        <f>Table132[[#This Row],[New position]]-Table132[[#This Row],[Old position]]</f>
        <v>0</v>
      </c>
      <c r="G24" s="37">
        <f>ROUND(Table132[[#This Row],[Target allocation ($)]]/(IF(G81&gt;0, G70,E70)*C15)*100,3)</f>
        <v>0.249</v>
      </c>
      <c r="H24" s="43">
        <f>Table132[[#This Row],[New position]]*Table132[[#This Row],[Last_Price]]</f>
        <v>542840.82000000007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62</v>
      </c>
      <c r="B25" s="37" t="s">
        <v>14</v>
      </c>
      <c r="C25" s="50">
        <v>161.38999999999999</v>
      </c>
      <c r="D25" s="37">
        <v>3335</v>
      </c>
      <c r="E25" s="37">
        <v>3335</v>
      </c>
      <c r="F25" s="36">
        <f>Table132[[#This Row],[New position]]-Table132[[#This Row],[Old position]]</f>
        <v>0</v>
      </c>
      <c r="G25" s="37">
        <f>ROUND(Table132[[#This Row],[Target allocation ($)]]/(IF(G81&gt;0, G70,E70)*C15)*100,3)</f>
        <v>0.247</v>
      </c>
      <c r="H25" s="43">
        <f>Table132[[#This Row],[New position]]*Table132[[#This Row],[Last_Price]]</f>
        <v>538235.64999999991</v>
      </c>
      <c r="I25" s="28"/>
      <c r="L25"/>
      <c r="M25"/>
      <c r="N25"/>
      <c r="O25"/>
      <c r="P25"/>
      <c r="Q25"/>
      <c r="R25"/>
    </row>
    <row r="26" spans="1:18" x14ac:dyDescent="0.25">
      <c r="A26" s="37" t="s">
        <v>65</v>
      </c>
      <c r="B26" s="37" t="s">
        <v>14</v>
      </c>
      <c r="C26" s="50">
        <v>190.16</v>
      </c>
      <c r="D26" s="37">
        <v>2839</v>
      </c>
      <c r="E26" s="37">
        <v>2839</v>
      </c>
      <c r="F26" s="36">
        <f>Table132[[#This Row],[New position]]-Table132[[#This Row],[Old position]]</f>
        <v>0</v>
      </c>
      <c r="G26" s="37">
        <f>ROUND(Table132[[#This Row],[Target allocation ($)]]/(IF(G81&gt;0, G70,E70)*C15)*100,3)</f>
        <v>0.248</v>
      </c>
      <c r="H26" s="43">
        <f>Table132[[#This Row],[New position]]*Table132[[#This Row],[Last_Price]]</f>
        <v>539864.24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66</v>
      </c>
      <c r="B27" s="37" t="s">
        <v>14</v>
      </c>
      <c r="C27" s="50">
        <v>383.8</v>
      </c>
      <c r="D27" s="37">
        <v>1436</v>
      </c>
      <c r="E27" s="37">
        <v>1436</v>
      </c>
      <c r="F27" s="36">
        <f>Table132[[#This Row],[New position]]-Table132[[#This Row],[Old position]]</f>
        <v>0</v>
      </c>
      <c r="G27" s="37">
        <f>ROUND(Table132[[#This Row],[Target allocation ($)]]/(IF(G81&gt;0, G70,E70)*C15)*100,3)</f>
        <v>0.253</v>
      </c>
      <c r="H27" s="43">
        <f>Table132[[#This Row],[New position]]*Table132[[#This Row],[Last_Price]]</f>
        <v>551136.80000000005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67</v>
      </c>
      <c r="B28" s="37" t="s">
        <v>14</v>
      </c>
      <c r="C28" s="50">
        <v>137.74</v>
      </c>
      <c r="D28" s="37">
        <v>3945</v>
      </c>
      <c r="E28" s="37">
        <v>3945</v>
      </c>
      <c r="F28" s="36">
        <f>Table132[[#This Row],[New position]]-Table132[[#This Row],[Old position]]</f>
        <v>0</v>
      </c>
      <c r="G28" s="37">
        <f>ROUND(Table132[[#This Row],[Target allocation ($)]]/(IF(G81&gt;0, G70,E70)*C15)*100,3)</f>
        <v>0.25</v>
      </c>
      <c r="H28" s="43">
        <f>Table132[[#This Row],[New position]]*Table132[[#This Row],[Last_Price]]</f>
        <v>543384.30000000005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68</v>
      </c>
      <c r="B29" s="37" t="s">
        <v>14</v>
      </c>
      <c r="C29" s="50">
        <v>36.28</v>
      </c>
      <c r="D29" s="37">
        <v>15018</v>
      </c>
      <c r="E29" s="37">
        <v>15018</v>
      </c>
      <c r="F29" s="36">
        <f>Table132[[#This Row],[New position]]-Table132[[#This Row],[Old position]]</f>
        <v>0</v>
      </c>
      <c r="G29" s="37">
        <f>ROUND(Table132[[#This Row],[Target allocation ($)]]/(IF(G81&gt;0, G70,E70)*C15)*100,3)</f>
        <v>0.25</v>
      </c>
      <c r="H29" s="43">
        <f>Table132[[#This Row],[New position]]*Table132[[#This Row],[Last_Price]]</f>
        <v>544853.04</v>
      </c>
      <c r="I29" s="30"/>
      <c r="L29"/>
      <c r="M29"/>
      <c r="N29"/>
      <c r="O29"/>
      <c r="P29"/>
      <c r="Q29"/>
      <c r="R29"/>
    </row>
    <row r="30" spans="1:18" x14ac:dyDescent="0.25">
      <c r="A30" s="48" t="s">
        <v>69</v>
      </c>
      <c r="B30" s="37" t="s">
        <v>14</v>
      </c>
      <c r="C30" s="50">
        <v>591.6</v>
      </c>
      <c r="D30" s="37">
        <v>914</v>
      </c>
      <c r="E30" s="37">
        <v>914</v>
      </c>
      <c r="F30" s="36">
        <f>Table132[[#This Row],[New position]]-Table132[[#This Row],[Old position]]</f>
        <v>0</v>
      </c>
      <c r="G30" s="37">
        <f>ROUND(Table132[[#This Row],[Target allocation ($)]]/(IF(G81&gt;0, G70,E70)*C15)*100,3)</f>
        <v>0.248</v>
      </c>
      <c r="H30" s="43">
        <f>Table132[[#This Row],[New position]]*Table132[[#This Row],[Last_Price]]</f>
        <v>540722.4</v>
      </c>
      <c r="I30" s="58"/>
      <c r="L30"/>
      <c r="M30"/>
      <c r="N30"/>
      <c r="O30"/>
      <c r="P30"/>
      <c r="Q30"/>
      <c r="R30"/>
    </row>
    <row r="31" spans="1:18" x14ac:dyDescent="0.25">
      <c r="A31" s="37" t="s">
        <v>70</v>
      </c>
      <c r="B31" s="37" t="s">
        <v>14</v>
      </c>
      <c r="C31" s="50">
        <v>124.45</v>
      </c>
      <c r="D31" s="37">
        <v>4440</v>
      </c>
      <c r="E31" s="37">
        <v>4440</v>
      </c>
      <c r="F31" s="36">
        <f>Table132[[#This Row],[New position]]-Table132[[#This Row],[Old position]]</f>
        <v>0</v>
      </c>
      <c r="G31" s="37">
        <f>ROUND(Table132[[#This Row],[Target allocation ($)]]/(IF(G81&gt;0, G70,E70)*C15)*100,3)</f>
        <v>0.254</v>
      </c>
      <c r="H31" s="43">
        <f>Table132[[#This Row],[New position]]*Table132[[#This Row],[Last_Price]]</f>
        <v>552558</v>
      </c>
      <c r="I31" s="30"/>
      <c r="J31" s="26"/>
      <c r="L31"/>
      <c r="M31"/>
      <c r="N31"/>
      <c r="O31"/>
      <c r="P31"/>
      <c r="Q31"/>
      <c r="R31"/>
    </row>
    <row r="32" spans="1:18" x14ac:dyDescent="0.25">
      <c r="A32" s="37" t="s">
        <v>71</v>
      </c>
      <c r="B32" s="37" t="s">
        <v>14</v>
      </c>
      <c r="C32" s="50">
        <v>118.96</v>
      </c>
      <c r="D32" s="37">
        <v>4511</v>
      </c>
      <c r="E32" s="37">
        <v>4511</v>
      </c>
      <c r="F32" s="36">
        <f>Table132[[#This Row],[New position]]-Table132[[#This Row],[Old position]]</f>
        <v>0</v>
      </c>
      <c r="G32" s="37">
        <f>ROUND(Table132[[#This Row],[Target allocation ($)]]/(IF(G81&gt;0, G70,E70)*C15)*100,3)</f>
        <v>0.247</v>
      </c>
      <c r="H32" s="43">
        <f>Table132[[#This Row],[New position]]*Table132[[#This Row],[Last_Price]]</f>
        <v>536628.55999999994</v>
      </c>
      <c r="I32" s="30"/>
      <c r="L32"/>
      <c r="M32"/>
      <c r="N32"/>
      <c r="O32"/>
      <c r="P32"/>
      <c r="Q32"/>
      <c r="R32"/>
    </row>
    <row r="33" spans="1:18" x14ac:dyDescent="0.25">
      <c r="A33" s="37" t="s">
        <v>72</v>
      </c>
      <c r="B33" s="37" t="s">
        <v>14</v>
      </c>
      <c r="C33" s="50">
        <v>360.05</v>
      </c>
      <c r="D33" s="37">
        <v>1492</v>
      </c>
      <c r="E33" s="37">
        <v>1492</v>
      </c>
      <c r="F33" s="36">
        <f>Table132[[#This Row],[New position]]-Table132[[#This Row],[Old position]]</f>
        <v>0</v>
      </c>
      <c r="G33" s="37">
        <f>ROUND(Table132[[#This Row],[Target allocation ($)]]/(IF(G81&gt;0, G70,E70)*C15)*100,3)</f>
        <v>0.247</v>
      </c>
      <c r="H33" s="43">
        <f>Table132[[#This Row],[New position]]*Table132[[#This Row],[Last_Price]]</f>
        <v>537194.6</v>
      </c>
      <c r="I33" s="30"/>
      <c r="L33"/>
      <c r="M33"/>
      <c r="N33"/>
      <c r="O33"/>
      <c r="P33"/>
      <c r="Q33"/>
      <c r="R33"/>
    </row>
    <row r="34" spans="1:18" x14ac:dyDescent="0.25">
      <c r="A34" s="48" t="s">
        <v>73</v>
      </c>
      <c r="B34" s="37" t="s">
        <v>14</v>
      </c>
      <c r="C34" s="50">
        <v>688.91</v>
      </c>
      <c r="D34" s="37">
        <v>792</v>
      </c>
      <c r="E34" s="37">
        <v>792</v>
      </c>
      <c r="F34" s="36">
        <f>Table132[[#This Row],[New position]]-Table132[[#This Row],[Old position]]</f>
        <v>0</v>
      </c>
      <c r="G34" s="37">
        <f>ROUND(Table132[[#This Row],[Target allocation ($)]]/(IF(G81&gt;0, G70,E70)*C15)*100,3)</f>
        <v>0.251</v>
      </c>
      <c r="H34" s="43">
        <f>Table132[[#This Row],[New position]]*Table132[[#This Row],[Last_Price]]</f>
        <v>545616.72</v>
      </c>
      <c r="I34" s="58"/>
      <c r="L34"/>
      <c r="M34"/>
      <c r="N34"/>
      <c r="O34"/>
      <c r="P34"/>
      <c r="Q34"/>
      <c r="R34"/>
    </row>
    <row r="35" spans="1:18" x14ac:dyDescent="0.25">
      <c r="A35" s="48" t="s">
        <v>74</v>
      </c>
      <c r="B35" s="37" t="s">
        <v>14</v>
      </c>
      <c r="C35" s="50">
        <v>356.31</v>
      </c>
      <c r="D35" s="37">
        <v>1531</v>
      </c>
      <c r="E35" s="37">
        <v>1531</v>
      </c>
      <c r="F35" s="36">
        <f>Table132[[#This Row],[New position]]-Table132[[#This Row],[Old position]]</f>
        <v>0</v>
      </c>
      <c r="G35" s="37">
        <f>ROUND(Table132[[#This Row],[Target allocation ($)]]/(IF(G81&gt;0, G70,E70)*C15)*100,3)</f>
        <v>0.251</v>
      </c>
      <c r="H35" s="43">
        <f>Table132[[#This Row],[New position]]*Table132[[#This Row],[Last_Price]]</f>
        <v>545510.61</v>
      </c>
      <c r="I35" s="58"/>
      <c r="L35"/>
      <c r="M35"/>
      <c r="N35"/>
      <c r="O35"/>
      <c r="P35"/>
      <c r="Q35"/>
      <c r="R35"/>
    </row>
    <row r="36" spans="1:18" x14ac:dyDescent="0.25">
      <c r="A36" s="37" t="s">
        <v>75</v>
      </c>
      <c r="B36" s="37" t="s">
        <v>14</v>
      </c>
      <c r="C36" s="50">
        <v>311.25</v>
      </c>
      <c r="D36" s="37">
        <v>1754</v>
      </c>
      <c r="E36" s="37">
        <v>1754</v>
      </c>
      <c r="F36" s="36">
        <f>Table132[[#This Row],[New position]]-Table132[[#This Row],[Old position]]</f>
        <v>0</v>
      </c>
      <c r="G36" s="37">
        <f>ROUND(Table132[[#This Row],[Target allocation ($)]]/(IF(G81&gt;0, G70,E70)*C15)*100,3)</f>
        <v>0.251</v>
      </c>
      <c r="H36" s="43">
        <f>Table132[[#This Row],[New position]]*Table132[[#This Row],[Last_Price]]</f>
        <v>545932.5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76</v>
      </c>
      <c r="B37" s="37" t="s">
        <v>14</v>
      </c>
      <c r="C37" s="50">
        <v>123</v>
      </c>
      <c r="D37" s="37">
        <v>4131</v>
      </c>
      <c r="E37" s="37">
        <v>4131</v>
      </c>
      <c r="F37" s="36">
        <f>Table132[[#This Row],[New position]]-Table132[[#This Row],[Old position]]</f>
        <v>0</v>
      </c>
      <c r="G37" s="37">
        <f>ROUND(Table132[[#This Row],[Target allocation ($)]]/(IF(G81&gt;0, G70,E70)*C15)*100,3)</f>
        <v>0.23300000000000001</v>
      </c>
      <c r="H37" s="43">
        <f>Table132[[#This Row],[New position]]*Table132[[#This Row],[Last_Price]]</f>
        <v>508113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77</v>
      </c>
      <c r="B38" s="37" t="s">
        <v>14</v>
      </c>
      <c r="C38" s="50">
        <v>179.36</v>
      </c>
      <c r="D38" s="37">
        <v>3031</v>
      </c>
      <c r="E38" s="37">
        <v>3031</v>
      </c>
      <c r="F38" s="36">
        <f>Table132[[#This Row],[New position]]-Table132[[#This Row],[Old position]]</f>
        <v>0</v>
      </c>
      <c r="G38" s="37">
        <f>ROUND(Table132[[#This Row],[Target allocation ($)]]/(IF(G81&gt;0, G70,E70)*C15)*100,3)</f>
        <v>0.25</v>
      </c>
      <c r="H38" s="43">
        <f>Table132[[#This Row],[New position]]*Table132[[#This Row],[Last_Price]]</f>
        <v>543640.16</v>
      </c>
      <c r="I38" s="55"/>
      <c r="L38" s="54"/>
      <c r="M38"/>
      <c r="N38"/>
      <c r="O38"/>
      <c r="P38"/>
      <c r="Q38"/>
      <c r="R38"/>
    </row>
    <row r="39" spans="1:18" x14ac:dyDescent="0.25">
      <c r="A39" s="37" t="s">
        <v>83</v>
      </c>
      <c r="B39" s="37" t="s">
        <v>14</v>
      </c>
      <c r="C39" s="50">
        <v>125.96</v>
      </c>
      <c r="D39" s="37">
        <v>3380</v>
      </c>
      <c r="E39" s="37">
        <v>3380</v>
      </c>
      <c r="F39" s="36">
        <f>Table132[[#This Row],[New position]]-Table132[[#This Row],[Old position]]</f>
        <v>0</v>
      </c>
      <c r="G39" s="37">
        <f>ROUND(Table132[[#This Row],[Target allocation ($)]]/(IF(G81&gt;0, G70,E70)*C15)*100,3)</f>
        <v>0.19600000000000001</v>
      </c>
      <c r="H39" s="43">
        <f>Table132[[#This Row],[New position]]*Table132[[#This Row],[Last_Price]]</f>
        <v>425744.8</v>
      </c>
      <c r="I39" s="59"/>
      <c r="L39" s="54"/>
      <c r="M39"/>
      <c r="N39"/>
      <c r="O39"/>
      <c r="P39"/>
      <c r="Q39"/>
      <c r="R39"/>
    </row>
    <row r="40" spans="1:18" x14ac:dyDescent="0.25">
      <c r="A40" s="37" t="s">
        <v>85</v>
      </c>
      <c r="B40" s="37" t="s">
        <v>14</v>
      </c>
      <c r="C40" s="50">
        <v>100.26</v>
      </c>
      <c r="D40" s="37">
        <v>4245</v>
      </c>
      <c r="E40" s="37">
        <v>4245</v>
      </c>
      <c r="F40" s="36">
        <f>Table132[[#This Row],[New position]]-Table132[[#This Row],[Old position]]</f>
        <v>0</v>
      </c>
      <c r="G40" s="37">
        <f>ROUND(Table132[[#This Row],[Target allocation ($)]]/(IF(G81&gt;0, G70,E70)*C15)*100,3)</f>
        <v>0.19600000000000001</v>
      </c>
      <c r="H40" s="43">
        <f>Table132[[#This Row],[New position]]*Table132[[#This Row],[Last_Price]]</f>
        <v>425603.7</v>
      </c>
      <c r="I40" s="59"/>
      <c r="L40" s="54"/>
      <c r="M40"/>
      <c r="N40"/>
      <c r="O40"/>
      <c r="P40"/>
      <c r="Q40"/>
      <c r="R40"/>
    </row>
    <row r="41" spans="1:18" x14ac:dyDescent="0.25">
      <c r="A41" s="48" t="s">
        <v>63</v>
      </c>
      <c r="B41" s="48" t="s">
        <v>14</v>
      </c>
      <c r="C41" s="50">
        <v>48.6</v>
      </c>
      <c r="D41" s="37">
        <v>112048</v>
      </c>
      <c r="E41" s="37">
        <v>134373</v>
      </c>
      <c r="F41" s="36">
        <f>Table132[[#This Row],[New position]]-Table132[[#This Row],[Old position]]</f>
        <v>22325</v>
      </c>
      <c r="G41" s="37">
        <f>ROUND(Table132[[#This Row],[Target allocation ($)]]/(IF(G81&gt;0, G70,E70)*C15)*100,3)</f>
        <v>3</v>
      </c>
      <c r="H41" s="43">
        <f>Table132[[#This Row],[New position]]*Table132[[#This Row],[Last_Price]]</f>
        <v>6530527.7999999998</v>
      </c>
      <c r="I41" s="59"/>
      <c r="L41" s="54"/>
      <c r="M41"/>
      <c r="N41"/>
      <c r="O41"/>
      <c r="P41"/>
      <c r="Q41"/>
      <c r="R41"/>
    </row>
    <row r="42" spans="1:18" x14ac:dyDescent="0.25">
      <c r="A42" s="48" t="s">
        <v>64</v>
      </c>
      <c r="B42" s="48" t="s">
        <v>14</v>
      </c>
      <c r="C42" s="50">
        <v>92.39</v>
      </c>
      <c r="D42" s="37">
        <v>51871</v>
      </c>
      <c r="E42" s="37">
        <v>63616</v>
      </c>
      <c r="F42" s="36">
        <f>Table132[[#This Row],[New position]]-Table132[[#This Row],[Old position]]</f>
        <v>11745</v>
      </c>
      <c r="G42" s="37">
        <f>ROUND(Table132[[#This Row],[Target allocation ($)]]/(IF(G81&gt;0, G70,E70)*C15)*100,3)</f>
        <v>2.7</v>
      </c>
      <c r="H42" s="43">
        <f>Table132[[#This Row],[New position]]*Table132[[#This Row],[Last_Price]]</f>
        <v>5877482.2400000002</v>
      </c>
      <c r="I42" s="59"/>
      <c r="L42" s="54"/>
      <c r="M42"/>
      <c r="N42"/>
      <c r="O42"/>
      <c r="P42"/>
      <c r="Q42"/>
      <c r="R42"/>
    </row>
    <row r="43" spans="1:18" x14ac:dyDescent="0.25">
      <c r="A43" s="48">
        <v>600519</v>
      </c>
      <c r="B43" s="48" t="s">
        <v>14</v>
      </c>
      <c r="C43" s="50">
        <v>248.04050279329601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($)]]/(IF(G81&gt;0, G70,E70)*C15)*100,3)</f>
        <v>0.10299999999999999</v>
      </c>
      <c r="H43" s="43">
        <f>Table132[[#This Row],[New position]]*Table132[[#This Row],[Last_Price]]</f>
        <v>223236.45251396642</v>
      </c>
      <c r="I43" s="59"/>
      <c r="L43" s="54"/>
      <c r="M43"/>
      <c r="N43"/>
      <c r="O43"/>
      <c r="P43"/>
      <c r="Q43"/>
      <c r="R43"/>
    </row>
    <row r="44" spans="1:18" x14ac:dyDescent="0.25">
      <c r="A44" s="48">
        <v>700</v>
      </c>
      <c r="B44" s="48" t="s">
        <v>14</v>
      </c>
      <c r="C44" s="50">
        <v>40.6161745827985</v>
      </c>
      <c r="D44" s="37">
        <v>12900</v>
      </c>
      <c r="E44" s="37">
        <v>12900</v>
      </c>
      <c r="F44" s="36">
        <f>Table132[[#This Row],[New position]]-Table132[[#This Row],[Old position]]</f>
        <v>0</v>
      </c>
      <c r="G44" s="37">
        <f>ROUND(Table132[[#This Row],[Target allocation ($)]]/(IF(G81&gt;0, G70,E70)*C15)*100,3)</f>
        <v>0.24099999999999999</v>
      </c>
      <c r="H44" s="43">
        <f>Table132[[#This Row],[New position]]*Table132[[#This Row],[Last_Price]]</f>
        <v>523948.65211810067</v>
      </c>
      <c r="I44" s="59"/>
      <c r="L44" s="54"/>
      <c r="M44"/>
      <c r="N44"/>
      <c r="O44"/>
      <c r="P44"/>
      <c r="Q44"/>
      <c r="R44"/>
    </row>
    <row r="45" spans="1:18" x14ac:dyDescent="0.25">
      <c r="A45" s="48">
        <v>9988</v>
      </c>
      <c r="B45" s="48" t="s">
        <v>14</v>
      </c>
      <c r="C45" s="50">
        <v>9.3324775353016705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($)]]/(IF(G81&gt;0, G70,E70)*C15)*100,3)</f>
        <v>9.4E-2</v>
      </c>
      <c r="H45" s="43">
        <f>Table132[[#This Row],[New position]]*Table132[[#This Row],[Last_Price]]</f>
        <v>205314.50577663674</v>
      </c>
      <c r="I45" s="59"/>
      <c r="L45" s="54"/>
      <c r="M45"/>
      <c r="N45"/>
      <c r="O45"/>
      <c r="P45"/>
      <c r="Q45"/>
      <c r="R45"/>
    </row>
    <row r="46" spans="1:18" x14ac:dyDescent="0.25">
      <c r="A46" s="48">
        <v>9888</v>
      </c>
      <c r="B46" s="48" t="s">
        <v>14</v>
      </c>
      <c r="C46" s="50">
        <v>14.762516046213101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($)]]/(IF(G81&gt;0, G70,E70)*C15)*100,3)</f>
        <v>0.106</v>
      </c>
      <c r="H46" s="43">
        <f>Table132[[#This Row],[New position]]*Table132[[#This Row],[Last_Price]]</f>
        <v>230295.25032092436</v>
      </c>
      <c r="I46" s="59"/>
      <c r="L46" s="54"/>
      <c r="M46"/>
      <c r="N46"/>
      <c r="O46"/>
      <c r="P46"/>
      <c r="Q46"/>
      <c r="R46"/>
    </row>
    <row r="47" spans="1:18" x14ac:dyDescent="0.25">
      <c r="A47" s="48" t="s">
        <v>11</v>
      </c>
      <c r="B47" s="48" t="s">
        <v>14</v>
      </c>
      <c r="C47" s="50">
        <v>391.72</v>
      </c>
      <c r="D47" s="37">
        <v>94150</v>
      </c>
      <c r="E47" s="37">
        <v>105586</v>
      </c>
      <c r="F47" s="36">
        <f>Table132[[#This Row],[New position]]-Table132[[#This Row],[Old position]]</f>
        <v>11436</v>
      </c>
      <c r="G47" s="37">
        <f>ROUND(Table132[[#This Row],[Target allocation ($)]]/(IF(G81&gt;0, G70,E70)*C15)*100,3)</f>
        <v>19</v>
      </c>
      <c r="H47" s="43">
        <f>Table132[[#This Row],[New position]]*Table132[[#This Row],[Last_Price]]</f>
        <v>41360147.920000002</v>
      </c>
      <c r="I47" s="59"/>
      <c r="L47" s="54"/>
      <c r="M47"/>
      <c r="N47"/>
      <c r="O47"/>
      <c r="P47"/>
      <c r="Q47"/>
      <c r="R47"/>
    </row>
    <row r="48" spans="1:18" x14ac:dyDescent="0.25">
      <c r="A48" s="48" t="s">
        <v>34</v>
      </c>
      <c r="B48" s="48" t="s">
        <v>14</v>
      </c>
      <c r="C48" s="50">
        <v>49.05</v>
      </c>
      <c r="D48" s="37">
        <v>27349</v>
      </c>
      <c r="E48" s="37">
        <v>27349</v>
      </c>
      <c r="F48" s="36">
        <f>Table132[[#This Row],[New position]]-Table132[[#This Row],[Old position]]</f>
        <v>0</v>
      </c>
      <c r="G48" s="37">
        <f>ROUND(Table132[[#This Row],[Target allocation ($)]]/(IF(G81&gt;0, G70,E70)*C15)*100,3)</f>
        <v>0.61599999999999999</v>
      </c>
      <c r="H48" s="43">
        <f>Table132[[#This Row],[New position]]*Table132[[#This Row],[Last_Price]]</f>
        <v>1341468.45</v>
      </c>
      <c r="I48" s="59"/>
      <c r="L48" s="54"/>
      <c r="M48"/>
      <c r="N48"/>
      <c r="O48"/>
      <c r="P48"/>
      <c r="Q48"/>
      <c r="R48"/>
    </row>
    <row r="49" spans="1:18" x14ac:dyDescent="0.25">
      <c r="A49" s="48" t="s">
        <v>35</v>
      </c>
      <c r="B49" s="48" t="s">
        <v>14</v>
      </c>
      <c r="C49" s="50">
        <v>15.12</v>
      </c>
      <c r="D49" s="37">
        <v>89715</v>
      </c>
      <c r="E49" s="37">
        <v>89715</v>
      </c>
      <c r="F49" s="36">
        <f>Table132[[#This Row],[New position]]-Table132[[#This Row],[Old position]]</f>
        <v>0</v>
      </c>
      <c r="G49" s="37">
        <f>ROUND(Table132[[#This Row],[Target allocation ($)]]/(IF(G81&gt;0, G70,E70)*C15)*100,3)</f>
        <v>0.623</v>
      </c>
      <c r="H49" s="43">
        <f>Table132[[#This Row],[New position]]*Table132[[#This Row],[Last_Price]]</f>
        <v>1356490.7999999998</v>
      </c>
      <c r="I49" s="59"/>
      <c r="L49" s="54"/>
      <c r="M49"/>
      <c r="N49"/>
      <c r="O49"/>
      <c r="P49"/>
      <c r="Q49"/>
      <c r="R49"/>
    </row>
    <row r="50" spans="1:18" x14ac:dyDescent="0.25">
      <c r="A50" s="48" t="s">
        <v>36</v>
      </c>
      <c r="B50" s="48" t="s">
        <v>14</v>
      </c>
      <c r="C50" s="50">
        <v>20.86</v>
      </c>
      <c r="D50" s="37">
        <v>13967</v>
      </c>
      <c r="E50" s="37">
        <v>13967</v>
      </c>
      <c r="F50" s="36">
        <f>Table132[[#This Row],[New position]]-Table132[[#This Row],[Old position]]</f>
        <v>0</v>
      </c>
      <c r="G50" s="37">
        <f>ROUND(Table132[[#This Row],[Target allocation ($)]]/(IF(G81&gt;0, G70,E70)*C15)*100,3)</f>
        <v>0.13400000000000001</v>
      </c>
      <c r="H50" s="43">
        <f>Table132[[#This Row],[New position]]*Table132[[#This Row],[Last_Price]]</f>
        <v>291351.62</v>
      </c>
      <c r="I50" s="59"/>
      <c r="L50" s="54"/>
      <c r="M50"/>
      <c r="N50"/>
      <c r="O50"/>
      <c r="P50"/>
      <c r="Q50"/>
      <c r="R50"/>
    </row>
    <row r="51" spans="1:18" x14ac:dyDescent="0.25">
      <c r="A51" s="48" t="s">
        <v>82</v>
      </c>
      <c r="B51" s="48" t="s">
        <v>14</v>
      </c>
      <c r="C51" s="50">
        <v>37.119999999999997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($)]]/(IF(G81&gt;0, G70,E70)*C15)*100,3)</f>
        <v>0.627</v>
      </c>
      <c r="H51" s="43">
        <f>Table132[[#This Row],[New position]]*Table132[[#This Row],[Last_Price]]</f>
        <v>1364456.96</v>
      </c>
      <c r="I51" s="59"/>
      <c r="L51" s="54"/>
      <c r="M51"/>
      <c r="N51"/>
      <c r="O51"/>
      <c r="P51"/>
      <c r="Q51"/>
      <c r="R51"/>
    </row>
    <row r="52" spans="1:18" x14ac:dyDescent="0.25">
      <c r="A52" s="48" t="s">
        <v>55</v>
      </c>
      <c r="B52" s="48" t="s">
        <v>14</v>
      </c>
      <c r="C52" s="50">
        <v>91.81</v>
      </c>
      <c r="D52" s="37">
        <v>23569</v>
      </c>
      <c r="E52" s="37">
        <v>23569</v>
      </c>
      <c r="F52" s="36">
        <f>Table132[[#This Row],[New position]]-Table132[[#This Row],[Old position]]</f>
        <v>0</v>
      </c>
      <c r="G52" s="37">
        <f>ROUND(Table132[[#This Row],[Target allocation ($)]]/(IF(G81&gt;0, G70,E70)*C15)*100,3)</f>
        <v>0.99399999999999999</v>
      </c>
      <c r="H52" s="43">
        <f>Table132[[#This Row],[New position]]*Table132[[#This Row],[Last_Price]]</f>
        <v>2163869.89</v>
      </c>
      <c r="I52" s="59"/>
      <c r="L52" s="54"/>
      <c r="M52"/>
      <c r="N52"/>
      <c r="O52"/>
      <c r="P52"/>
      <c r="Q52"/>
      <c r="R52"/>
    </row>
    <row r="53" spans="1:18" x14ac:dyDescent="0.25">
      <c r="A53" s="48" t="s">
        <v>56</v>
      </c>
      <c r="B53" s="48" t="s">
        <v>14</v>
      </c>
      <c r="C53" s="50">
        <v>50.31</v>
      </c>
      <c r="D53" s="37">
        <v>10761</v>
      </c>
      <c r="E53" s="37">
        <v>10761</v>
      </c>
      <c r="F53" s="36">
        <f>Table132[[#This Row],[New position]]-Table132[[#This Row],[Old position]]</f>
        <v>0</v>
      </c>
      <c r="G53" s="37">
        <f>ROUND(Table132[[#This Row],[Target allocation ($)]]/(IF(G81&gt;0, G70,E70)*C15)*100,3)</f>
        <v>0.249</v>
      </c>
      <c r="H53" s="43">
        <f>Table132[[#This Row],[New position]]*Table132[[#This Row],[Last_Price]]</f>
        <v>541385.91</v>
      </c>
      <c r="I53" s="59"/>
      <c r="L53" s="54"/>
      <c r="M53"/>
      <c r="N53"/>
      <c r="O53"/>
      <c r="P53"/>
      <c r="Q53"/>
      <c r="R53"/>
    </row>
    <row r="54" spans="1:18" x14ac:dyDescent="0.25">
      <c r="A54" s="48" t="s">
        <v>41</v>
      </c>
      <c r="B54" s="48" t="s">
        <v>14</v>
      </c>
      <c r="C54" s="50">
        <v>78.39</v>
      </c>
      <c r="D54" s="37">
        <v>55147</v>
      </c>
      <c r="E54" s="37">
        <v>62481</v>
      </c>
      <c r="F54" s="36">
        <f>Table132[[#This Row],[New position]]-Table132[[#This Row],[Old position]]</f>
        <v>7334</v>
      </c>
      <c r="G54" s="37">
        <f>ROUND(Table132[[#This Row],[Target allocation ($)]]/(IF(G81&gt;0, G70,E70)*C15)*100,3)</f>
        <v>2.25</v>
      </c>
      <c r="H54" s="43">
        <f>Table132[[#This Row],[New position]]*Table132[[#This Row],[Last_Price]]</f>
        <v>4897885.59</v>
      </c>
      <c r="I54" s="59"/>
      <c r="L54" s="54"/>
      <c r="M54"/>
      <c r="N54"/>
      <c r="O54"/>
      <c r="P54"/>
      <c r="Q54"/>
      <c r="R54"/>
    </row>
    <row r="55" spans="1:18" x14ac:dyDescent="0.25">
      <c r="A55" s="48" t="s">
        <v>42</v>
      </c>
      <c r="B55" s="48" t="s">
        <v>14</v>
      </c>
      <c r="C55" s="50">
        <v>67.849999999999994</v>
      </c>
      <c r="D55" s="37">
        <v>63585</v>
      </c>
      <c r="E55" s="37">
        <v>72187</v>
      </c>
      <c r="F55" s="36">
        <f>Table132[[#This Row],[New position]]-Table132[[#This Row],[Old position]]</f>
        <v>8602</v>
      </c>
      <c r="G55" s="37">
        <f>ROUND(Table132[[#This Row],[Target allocation ($)]]/(IF(G81&gt;0, G70,E70)*C15)*100,3)</f>
        <v>2.25</v>
      </c>
      <c r="H55" s="43">
        <f>Table132[[#This Row],[New position]]*Table132[[#This Row],[Last_Price]]</f>
        <v>4897887.9499999993</v>
      </c>
      <c r="I55" s="59"/>
      <c r="L55" s="54"/>
      <c r="M55"/>
      <c r="N55"/>
      <c r="O55"/>
      <c r="P55"/>
      <c r="Q55"/>
      <c r="R55"/>
    </row>
    <row r="56" spans="1:18" x14ac:dyDescent="0.25">
      <c r="A56" s="48" t="s">
        <v>57</v>
      </c>
      <c r="B56" s="48" t="s">
        <v>14</v>
      </c>
      <c r="C56" s="50">
        <v>92.04</v>
      </c>
      <c r="D56" s="37">
        <v>47306</v>
      </c>
      <c r="E56" s="37">
        <v>53215</v>
      </c>
      <c r="F56" s="36">
        <f>Table132[[#This Row],[New position]]-Table132[[#This Row],[Old position]]</f>
        <v>5909</v>
      </c>
      <c r="G56" s="37">
        <f>ROUND(Table132[[#This Row],[Target allocation ($)]]/(IF(G81&gt;0, G70,E70)*C15)*100,3)</f>
        <v>2.25</v>
      </c>
      <c r="H56" s="43">
        <f>Table132[[#This Row],[New position]]*Table132[[#This Row],[Last_Price]]</f>
        <v>4897908.6000000006</v>
      </c>
      <c r="I56" s="59"/>
      <c r="L56" s="54"/>
      <c r="M56"/>
      <c r="N56"/>
      <c r="O56"/>
      <c r="P56"/>
      <c r="Q56"/>
      <c r="R56"/>
    </row>
    <row r="57" spans="1:18" x14ac:dyDescent="0.25">
      <c r="A57" s="48" t="s">
        <v>58</v>
      </c>
      <c r="B57" s="48" t="s">
        <v>14</v>
      </c>
      <c r="C57" s="50">
        <v>5.24</v>
      </c>
      <c r="D57" s="37">
        <v>849176</v>
      </c>
      <c r="E57" s="37">
        <v>934712</v>
      </c>
      <c r="F57" s="36">
        <f>Table132[[#This Row],[New position]]-Table132[[#This Row],[Old position]]</f>
        <v>85536</v>
      </c>
      <c r="G57" s="37">
        <f>ROUND(Table132[[#This Row],[Target allocation ($)]]/(IF(G81&gt;0, G70,E70)*C15)*100,3)</f>
        <v>2.25</v>
      </c>
      <c r="H57" s="43">
        <f>Table132[[#This Row],[New position]]*Table132[[#This Row],[Last_Price]]</f>
        <v>4897890.88</v>
      </c>
      <c r="I57" s="59"/>
      <c r="L57" s="54"/>
      <c r="M57"/>
      <c r="N57"/>
      <c r="O57"/>
      <c r="P57"/>
      <c r="Q57"/>
      <c r="R57"/>
    </row>
    <row r="58" spans="1:18" x14ac:dyDescent="0.25">
      <c r="A58" s="48" t="s">
        <v>51</v>
      </c>
      <c r="B58" s="48" t="s">
        <v>14</v>
      </c>
      <c r="C58" s="50">
        <v>282.7</v>
      </c>
      <c r="D58" s="37">
        <v>15256</v>
      </c>
      <c r="E58" s="37">
        <v>17325</v>
      </c>
      <c r="F58" s="36">
        <f>Table132[[#This Row],[New position]]-Table132[[#This Row],[Old position]]</f>
        <v>2069</v>
      </c>
      <c r="G58" s="37">
        <f>ROUND(Table132[[#This Row],[Target allocation ($)]]/(IF(G81&gt;0, G70,E70)*C15)*100,3)</f>
        <v>2.25</v>
      </c>
      <c r="H58" s="43">
        <f>Table132[[#This Row],[New position]]*Table132[[#This Row],[Last_Price]]</f>
        <v>4897777.5</v>
      </c>
      <c r="I58" s="59"/>
      <c r="L58" s="54"/>
      <c r="M58"/>
      <c r="N58"/>
      <c r="O58"/>
      <c r="P58"/>
      <c r="Q58"/>
      <c r="R58"/>
    </row>
    <row r="59" spans="1:18" x14ac:dyDescent="0.25">
      <c r="A59" s="48" t="s">
        <v>52</v>
      </c>
      <c r="B59" s="48" t="s">
        <v>14</v>
      </c>
      <c r="C59" s="50">
        <v>58.7</v>
      </c>
      <c r="D59" s="37">
        <v>73595</v>
      </c>
      <c r="E59" s="37">
        <v>83439</v>
      </c>
      <c r="F59" s="36">
        <f>Table132[[#This Row],[New position]]-Table132[[#This Row],[Old position]]</f>
        <v>9844</v>
      </c>
      <c r="G59" s="37">
        <f>ROUND(Table132[[#This Row],[Target allocation ($)]]/(IF(G81&gt;0, G70,E70)*C15)*100,3)</f>
        <v>2.25</v>
      </c>
      <c r="H59" s="43">
        <f>Table132[[#This Row],[New position]]*Table132[[#This Row],[Last_Price]]</f>
        <v>4897869.3</v>
      </c>
      <c r="I59" s="59"/>
      <c r="L59" s="54"/>
      <c r="M59"/>
      <c r="N59"/>
      <c r="O59"/>
      <c r="P59"/>
      <c r="Q59"/>
      <c r="R59"/>
    </row>
    <row r="60" spans="1:18" x14ac:dyDescent="0.25">
      <c r="A60" s="48" t="s">
        <v>78</v>
      </c>
      <c r="B60" s="48" t="s">
        <v>14</v>
      </c>
      <c r="C60" s="50">
        <v>510.45</v>
      </c>
      <c r="D60" s="37">
        <v>8430</v>
      </c>
      <c r="E60" s="37">
        <v>9595</v>
      </c>
      <c r="F60" s="36">
        <f>Table132[[#This Row],[New position]]-Table132[[#This Row],[Old position]]</f>
        <v>1165</v>
      </c>
      <c r="G60" s="37">
        <f>ROUND(Table132[[#This Row],[Target allocation ($)]]/(IF(G81&gt;0, G70,E70)*C15)*100,3)</f>
        <v>2.25</v>
      </c>
      <c r="H60" s="43">
        <f>Table132[[#This Row],[New position]]*Table132[[#This Row],[Last_Price]]</f>
        <v>4897767.75</v>
      </c>
      <c r="I60" s="59"/>
      <c r="L60" s="54"/>
      <c r="M60"/>
      <c r="N60"/>
      <c r="O60"/>
      <c r="P60"/>
      <c r="Q60"/>
      <c r="R60"/>
    </row>
    <row r="61" spans="1:18" x14ac:dyDescent="0.25">
      <c r="A61" s="48" t="s">
        <v>79</v>
      </c>
      <c r="B61" s="48" t="s">
        <v>14</v>
      </c>
      <c r="C61" s="50">
        <v>106.32</v>
      </c>
      <c r="D61" s="37">
        <v>40782</v>
      </c>
      <c r="E61" s="37">
        <v>46067</v>
      </c>
      <c r="F61" s="36">
        <f>Table132[[#This Row],[New position]]-Table132[[#This Row],[Old position]]</f>
        <v>5285</v>
      </c>
      <c r="G61" s="37">
        <f>ROUND(Table132[[#This Row],[Target allocation ($)]]/(IF(G81&gt;0, G70,E70)*C15)*100,3)</f>
        <v>2.25</v>
      </c>
      <c r="H61" s="43">
        <f>Table132[[#This Row],[New position]]*Table132[[#This Row],[Last_Price]]</f>
        <v>4897843.4399999995</v>
      </c>
      <c r="I61" s="59"/>
      <c r="L61" s="54"/>
      <c r="M61"/>
      <c r="N61"/>
      <c r="O61"/>
      <c r="P61"/>
      <c r="Q61"/>
      <c r="R61"/>
    </row>
    <row r="62" spans="1:18" x14ac:dyDescent="0.25">
      <c r="A62" s="48" t="s">
        <v>80</v>
      </c>
      <c r="B62" s="48" t="s">
        <v>14</v>
      </c>
      <c r="C62" s="50">
        <v>36.4</v>
      </c>
      <c r="D62" s="37">
        <v>36000</v>
      </c>
      <c r="E62" s="37">
        <v>36000</v>
      </c>
      <c r="F62" s="36">
        <f>Table132[[#This Row],[New position]]-Table132[[#This Row],[Old position]]</f>
        <v>0</v>
      </c>
      <c r="G62" s="37">
        <f>ROUND(Table132[[#This Row],[Target allocation ($)]]/(IF(G81&gt;0, G70,E70)*C15)*100,3)</f>
        <v>0.60199999999999998</v>
      </c>
      <c r="H62" s="43">
        <f>Table132[[#This Row],[New position]]*Table132[[#This Row],[Last_Price]]</f>
        <v>1310400</v>
      </c>
      <c r="I62" s="59"/>
      <c r="L62" s="54"/>
      <c r="M62"/>
      <c r="N62"/>
      <c r="O62"/>
      <c r="P62"/>
      <c r="Q62"/>
      <c r="R62"/>
    </row>
    <row r="63" spans="1:18" x14ac:dyDescent="0.25">
      <c r="A63" s="48" t="s">
        <v>81</v>
      </c>
      <c r="B63" s="48" t="s">
        <v>14</v>
      </c>
      <c r="C63" s="50">
        <v>130.5</v>
      </c>
      <c r="D63" s="37">
        <v>12200</v>
      </c>
      <c r="E63" s="37">
        <v>12200</v>
      </c>
      <c r="F63" s="36">
        <f>Table132[[#This Row],[New position]]-Table132[[#This Row],[Old position]]</f>
        <v>0</v>
      </c>
      <c r="G63" s="37">
        <f>ROUND(Table132[[#This Row],[Target allocation ($)]]/(IF(G81&gt;0, G70,E70)*C15)*100,3)</f>
        <v>0.73099999999999998</v>
      </c>
      <c r="H63" s="43">
        <f>Table132[[#This Row],[New position]]*Table132[[#This Row],[Last_Price]]</f>
        <v>1592100</v>
      </c>
      <c r="I63" s="59"/>
      <c r="L63" s="54"/>
      <c r="M63"/>
      <c r="N63"/>
      <c r="O63"/>
      <c r="P63"/>
      <c r="Q63"/>
      <c r="R63"/>
    </row>
    <row r="64" spans="1:18" x14ac:dyDescent="0.25">
      <c r="A64" s="48" t="s">
        <v>84</v>
      </c>
      <c r="B64" s="48" t="s">
        <v>14</v>
      </c>
      <c r="C64" s="50">
        <v>188.87</v>
      </c>
      <c r="D64" s="37">
        <v>34566</v>
      </c>
      <c r="E64" s="37">
        <v>57628</v>
      </c>
      <c r="F64" s="36">
        <f>Table132[[#This Row],[New position]]-Table132[[#This Row],[Old position]]</f>
        <v>23062</v>
      </c>
      <c r="G64" s="37">
        <f>ROUND(Table132[[#This Row],[Target allocation ($)]]/(IF(G81&gt;0, G70,E70)*C15)*100,3)</f>
        <v>5</v>
      </c>
      <c r="H64" s="43">
        <f>Table132[[#This Row],[New position]]*Table132[[#This Row],[Last_Price]]</f>
        <v>10884200.359999999</v>
      </c>
      <c r="I64" s="59"/>
      <c r="L64" s="54"/>
      <c r="M64"/>
      <c r="N64"/>
      <c r="O64"/>
      <c r="P64"/>
      <c r="Q64"/>
      <c r="R64"/>
    </row>
    <row r="65" spans="1:18" x14ac:dyDescent="0.25">
      <c r="A65" s="48"/>
      <c r="B65" s="48"/>
      <c r="C65" s="49"/>
      <c r="D65" s="38"/>
      <c r="E65" s="39"/>
      <c r="F65" s="34"/>
      <c r="G65" s="37"/>
      <c r="H65" s="50"/>
      <c r="I65" s="59"/>
      <c r="L65" s="54"/>
      <c r="M65"/>
      <c r="N65"/>
      <c r="O65"/>
      <c r="P65"/>
      <c r="Q65"/>
      <c r="R65"/>
    </row>
    <row r="66" spans="1:18" x14ac:dyDescent="0.25">
      <c r="A66" s="48"/>
      <c r="B66" s="48"/>
      <c r="C66" s="49"/>
      <c r="D66" s="38"/>
      <c r="E66" s="39"/>
      <c r="F66" s="34"/>
      <c r="G66" s="37"/>
      <c r="H66" s="50"/>
      <c r="I66" s="59"/>
      <c r="L66" s="54"/>
      <c r="M66"/>
      <c r="N66"/>
      <c r="O66"/>
      <c r="P66"/>
      <c r="Q66"/>
      <c r="R66"/>
    </row>
    <row r="67" spans="1:18" x14ac:dyDescent="0.25">
      <c r="A67" s="48"/>
      <c r="B67" s="48"/>
      <c r="C67" s="50"/>
      <c r="D67" s="37"/>
      <c r="E67" s="37"/>
      <c r="F67" s="36"/>
      <c r="G67" s="37"/>
      <c r="H67" s="50"/>
      <c r="I67" s="59"/>
      <c r="L67" s="54"/>
      <c r="M67"/>
      <c r="N67"/>
      <c r="O67"/>
      <c r="P67"/>
      <c r="Q67"/>
      <c r="R67"/>
    </row>
    <row r="68" spans="1:18" x14ac:dyDescent="0.25">
      <c r="A68" s="48"/>
      <c r="B68" s="48"/>
      <c r="C68" s="50"/>
      <c r="D68" s="37"/>
      <c r="E68" s="37"/>
      <c r="F68" s="34"/>
      <c r="G68" s="37"/>
      <c r="H68" s="50"/>
      <c r="I68" s="52"/>
      <c r="L68"/>
      <c r="M68"/>
      <c r="N68"/>
      <c r="O68"/>
      <c r="P68"/>
      <c r="Q68"/>
      <c r="R68"/>
    </row>
    <row r="69" spans="1:18" x14ac:dyDescent="0.25">
      <c r="A69" s="48" t="s">
        <v>61</v>
      </c>
      <c r="B69" s="48"/>
      <c r="C69" s="49"/>
      <c r="D69" s="38"/>
      <c r="E69" s="60" t="s">
        <v>59</v>
      </c>
      <c r="F69" s="34"/>
      <c r="G69" s="61" t="s">
        <v>60</v>
      </c>
      <c r="H69" s="50"/>
      <c r="I69" s="52"/>
      <c r="L69"/>
      <c r="M69"/>
      <c r="N69"/>
      <c r="O69"/>
      <c r="P69"/>
      <c r="Q69"/>
      <c r="R69"/>
    </row>
    <row r="70" spans="1:18" ht="30" x14ac:dyDescent="0.25">
      <c r="A70" s="48" t="s">
        <v>32</v>
      </c>
      <c r="B70" s="48"/>
      <c r="C70" s="49"/>
      <c r="D70" s="38"/>
      <c r="E70" s="37">
        <f xml:space="preserve"> IF(G81&gt;0, (C16+ABS(G81*G70))/C12, C16/C12)</f>
        <v>5.824433</v>
      </c>
      <c r="F70" s="34"/>
      <c r="G70" s="37">
        <v>5.824433</v>
      </c>
      <c r="H70" s="50"/>
      <c r="I70" s="52"/>
      <c r="L70"/>
      <c r="M70"/>
      <c r="N70"/>
      <c r="O70"/>
      <c r="P70"/>
      <c r="Q70"/>
      <c r="R70"/>
    </row>
    <row r="71" spans="1:18" ht="30" x14ac:dyDescent="0.25">
      <c r="A71" s="37" t="s">
        <v>43</v>
      </c>
      <c r="B71" s="37"/>
      <c r="C71" s="37"/>
      <c r="D71" s="51" t="str">
        <f>Table132[[#This Row],[Symbol]]</f>
        <v>SingleStocks</v>
      </c>
      <c r="E71" s="37">
        <f>ROUND(SUM(G19:G40)/100, 3)</f>
        <v>5.3999999999999999E-2</v>
      </c>
      <c r="F71" s="51" t="str">
        <f>Table132[[#This Row],[Symbol]]</f>
        <v>SingleStocks</v>
      </c>
      <c r="G71" s="37">
        <f>SUM(H19:H40)/(G70*C15)</f>
        <v>5.3771011999376471E-2</v>
      </c>
      <c r="H71" s="37"/>
      <c r="I71" s="30"/>
      <c r="L71"/>
      <c r="M71"/>
      <c r="N71"/>
      <c r="O71"/>
      <c r="P71"/>
      <c r="Q71"/>
      <c r="R71"/>
    </row>
    <row r="72" spans="1:18" ht="30" x14ac:dyDescent="0.25">
      <c r="A72" s="68" t="s">
        <v>86</v>
      </c>
      <c r="B72" s="68"/>
      <c r="C72" s="69"/>
      <c r="D72" s="38"/>
      <c r="E72" s="37">
        <f>ROUND(SUM(G41:G42)/100, 3)</f>
        <v>5.7000000000000002E-2</v>
      </c>
      <c r="F72" s="51" t="str">
        <f>Table132[[#This Row],[Symbol]]</f>
        <v>S&amp;P500 Bull</v>
      </c>
      <c r="G72" s="37">
        <f>SUM(H41:H42)/(G70*C15)</f>
        <v>5.7000099378072898E-2</v>
      </c>
      <c r="H72" s="50"/>
      <c r="I72" s="58"/>
      <c r="L72"/>
      <c r="M72"/>
      <c r="N72"/>
      <c r="O72"/>
      <c r="P72"/>
      <c r="Q72"/>
      <c r="R72"/>
    </row>
    <row r="73" spans="1:18" ht="30" x14ac:dyDescent="0.25">
      <c r="A73" s="48" t="s">
        <v>53</v>
      </c>
      <c r="B73" s="48"/>
      <c r="C73" s="49"/>
      <c r="D73" s="38"/>
      <c r="E73" s="37">
        <f>ROUND(SUM(G43:G46)/100, 3)</f>
        <v>5.0000000000000001E-3</v>
      </c>
      <c r="F73" s="51" t="str">
        <f>Table132[[#This Row],[Symbol]]</f>
        <v>International Stocks</v>
      </c>
      <c r="G73" s="37">
        <f>SUM(H43:H46)/(G70*C15)</f>
        <v>5.4335404620177684E-3</v>
      </c>
      <c r="H73" s="50"/>
      <c r="I73" s="58"/>
      <c r="L73"/>
      <c r="M73"/>
      <c r="N73"/>
      <c r="O73"/>
      <c r="P73"/>
      <c r="Q73"/>
      <c r="R73"/>
    </row>
    <row r="74" spans="1:18" x14ac:dyDescent="0.25">
      <c r="A74" s="48" t="s">
        <v>11</v>
      </c>
      <c r="B74" s="48"/>
      <c r="C74" s="49"/>
      <c r="D74" s="51" t="str">
        <f>Table132[[#This Row],[Symbol]]</f>
        <v>QQQ</v>
      </c>
      <c r="E74" s="57">
        <f>ROUND(SUM(G47)/100, 3)</f>
        <v>0.19</v>
      </c>
      <c r="F74" s="51" t="str">
        <f>Table132[[#This Row],[Symbol]]</f>
        <v>QQQ</v>
      </c>
      <c r="G74" s="57">
        <f>SUM(H47)/(G70*C15)</f>
        <v>0.19000085703765238</v>
      </c>
      <c r="H74" s="50"/>
      <c r="I74" s="30"/>
      <c r="L74"/>
      <c r="M74"/>
      <c r="N74"/>
      <c r="O74"/>
      <c r="P74"/>
      <c r="Q74"/>
      <c r="R74"/>
    </row>
    <row r="75" spans="1:18" x14ac:dyDescent="0.25">
      <c r="A75" s="48" t="s">
        <v>49</v>
      </c>
      <c r="B75" s="48"/>
      <c r="C75" s="49"/>
      <c r="D75" s="38"/>
      <c r="E75" s="57">
        <f>ROUND(SUM(0)/100, 3)</f>
        <v>0</v>
      </c>
      <c r="F75" s="51" t="str">
        <f>Table132[[#This Row],[Symbol]]</f>
        <v>ETF</v>
      </c>
      <c r="G75" s="57">
        <f>SUM(0)/(G71*C15)</f>
        <v>0</v>
      </c>
      <c r="H75" s="50"/>
      <c r="I75" s="58"/>
      <c r="L75"/>
      <c r="M75"/>
      <c r="N75"/>
      <c r="O75"/>
      <c r="P75"/>
      <c r="Q75"/>
      <c r="R75"/>
    </row>
    <row r="76" spans="1:18" x14ac:dyDescent="0.25">
      <c r="A76" s="37" t="s">
        <v>27</v>
      </c>
      <c r="B76" s="48"/>
      <c r="C76" s="49"/>
      <c r="D76" s="51" t="str">
        <f>Table132[[#This Row],[Symbol]]</f>
        <v>Bonds</v>
      </c>
      <c r="E76" s="57">
        <f>ROUND(SUM(G52:G61)/100, 3)</f>
        <v>0.192</v>
      </c>
      <c r="F76" s="51" t="str">
        <f>Table132[[#This Row],[Symbol]]</f>
        <v>Bonds</v>
      </c>
      <c r="G76" s="57">
        <f>SUM(H52:H61)/(G70*C15)</f>
        <v>0.19242611049074757</v>
      </c>
      <c r="H76" s="50"/>
      <c r="I76" s="30"/>
      <c r="L76"/>
      <c r="M76"/>
      <c r="N76"/>
      <c r="O76"/>
      <c r="P76"/>
      <c r="Q76"/>
      <c r="R76"/>
    </row>
    <row r="77" spans="1:18" x14ac:dyDescent="0.25">
      <c r="A77" s="48" t="s">
        <v>45</v>
      </c>
      <c r="B77" s="37"/>
      <c r="C77" s="37"/>
      <c r="D77" s="51" t="str">
        <f>Table132[[#This Row],[Symbol]]</f>
        <v>Gold</v>
      </c>
      <c r="E77" s="37">
        <f>ROUND(SUM(G64)/100,3)</f>
        <v>0.05</v>
      </c>
      <c r="F77" s="51" t="str">
        <f>Table132[[#This Row],[Symbol]]</f>
        <v>Gold</v>
      </c>
      <c r="G77" s="37">
        <f>SUM(H64)/(G70*C15)</f>
        <v>5.0000000013769884E-2</v>
      </c>
      <c r="H77" s="37"/>
      <c r="I77" s="31"/>
      <c r="L77"/>
      <c r="M77"/>
      <c r="N77"/>
      <c r="O77"/>
      <c r="P77"/>
      <c r="Q77"/>
      <c r="R77"/>
    </row>
    <row r="78" spans="1:18" ht="15" customHeight="1" x14ac:dyDescent="0.25">
      <c r="A78" s="37" t="s">
        <v>28</v>
      </c>
      <c r="B78" s="37"/>
      <c r="C78" s="37"/>
      <c r="D78" s="51" t="str">
        <f>Table132[[#This Row],[Symbol]]</f>
        <v>Commodities</v>
      </c>
      <c r="E78" s="37">
        <f>ROUND(SUM(G48:G51)/100,3)</f>
        <v>0.02</v>
      </c>
      <c r="F78" s="51" t="str">
        <f>Table132[[#This Row],[Symbol]]</f>
        <v>Commodities</v>
      </c>
      <c r="G78" s="37">
        <f>SUM(H48:H51)/(G70*C15)</f>
        <v>2.000040281874698E-2</v>
      </c>
      <c r="H78" s="37"/>
      <c r="I78" s="32"/>
      <c r="L78"/>
      <c r="M78"/>
      <c r="N78"/>
      <c r="O78"/>
      <c r="P78"/>
      <c r="Q78"/>
      <c r="R78"/>
    </row>
    <row r="79" spans="1:18" x14ac:dyDescent="0.25">
      <c r="A79" s="48" t="s">
        <v>44</v>
      </c>
      <c r="B79" s="48"/>
      <c r="C79" s="49"/>
      <c r="D79" s="51" t="str">
        <f>Table132[[#This Row],[Symbol]]</f>
        <v>Crypto</v>
      </c>
      <c r="E79" s="57">
        <f>ROUND(SUM(G62:G63)/100,3)</f>
        <v>1.2999999999999999E-2</v>
      </c>
      <c r="F79" s="51" t="str">
        <f>Table132[[#This Row],[Symbol]]</f>
        <v>Crypto</v>
      </c>
      <c r="G79" s="37">
        <f>SUM(H62:H63)/(G70*C15)</f>
        <v>1.3333547274020146E-2</v>
      </c>
      <c r="H79" s="50"/>
      <c r="I79" s="56"/>
      <c r="L79"/>
      <c r="M79"/>
      <c r="N79"/>
      <c r="O79"/>
      <c r="P79"/>
      <c r="Q79"/>
      <c r="R79"/>
    </row>
    <row r="80" spans="1:18" x14ac:dyDescent="0.25">
      <c r="A80" s="37" t="s">
        <v>23</v>
      </c>
      <c r="B80" s="37"/>
      <c r="C80" s="37"/>
      <c r="D80" s="51" t="str">
        <f>Table132[[#This Row],[Symbol]]</f>
        <v>Cash</v>
      </c>
      <c r="E80" s="37">
        <f>1-SUM(E71:E79)</f>
        <v>0.41899999999999993</v>
      </c>
      <c r="F80" s="51" t="str">
        <f>Table132[[#This Row],[Symbol]]</f>
        <v>Cash</v>
      </c>
      <c r="G80" s="37">
        <f>1-SUM(G71:G79)</f>
        <v>0.41803443052559597</v>
      </c>
      <c r="H80" s="37"/>
      <c r="I80" s="30"/>
      <c r="L80"/>
      <c r="M80"/>
      <c r="N80"/>
      <c r="O80"/>
      <c r="P80"/>
      <c r="Q80"/>
      <c r="R80"/>
    </row>
    <row r="81" spans="1:18" x14ac:dyDescent="0.25">
      <c r="A81" s="27" t="s">
        <v>29</v>
      </c>
      <c r="B81" s="27"/>
      <c r="C81" s="35"/>
      <c r="D81" s="34"/>
      <c r="E81" s="27">
        <f>C15*E80</f>
        <v>15659824.568619996</v>
      </c>
      <c r="F81" s="34"/>
      <c r="G81" s="37">
        <f>C15*G80</f>
        <v>15623737.101846773</v>
      </c>
      <c r="H81" s="43"/>
      <c r="I81" s="33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27"/>
      <c r="G82" s="37"/>
      <c r="H82" s="43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3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3"/>
      <c r="I84" s="30"/>
      <c r="L84"/>
      <c r="M84"/>
      <c r="N84"/>
      <c r="O84"/>
      <c r="P84"/>
      <c r="Q84"/>
      <c r="R84"/>
    </row>
    <row r="85" spans="1:18" x14ac:dyDescent="0.25">
      <c r="A85" s="21"/>
      <c r="B85" s="5" t="s">
        <v>21</v>
      </c>
      <c r="D85" s="1"/>
      <c r="E85" s="5" t="s">
        <v>20</v>
      </c>
      <c r="F85" s="1"/>
      <c r="G85" s="5"/>
      <c r="H85" s="44" t="s">
        <v>2</v>
      </c>
      <c r="I85" s="4"/>
      <c r="L85"/>
      <c r="M85"/>
      <c r="N85"/>
      <c r="O85"/>
      <c r="P85"/>
      <c r="Q85"/>
      <c r="R85"/>
    </row>
    <row r="86" spans="1:18" x14ac:dyDescent="0.25">
      <c r="B86" s="5" t="s">
        <v>24</v>
      </c>
      <c r="D86" s="1"/>
      <c r="E86" s="5" t="s">
        <v>24</v>
      </c>
      <c r="F86" s="1"/>
      <c r="G86" s="5"/>
      <c r="H86" s="44" t="s">
        <v>3</v>
      </c>
      <c r="L86"/>
      <c r="M86"/>
      <c r="N86"/>
      <c r="O86"/>
      <c r="P86"/>
      <c r="Q86"/>
      <c r="R86"/>
    </row>
    <row r="87" spans="1:18" x14ac:dyDescent="0.25">
      <c r="B87" s="3"/>
      <c r="C87"/>
      <c r="D87" s="1"/>
      <c r="E87" s="3"/>
      <c r="F87" s="20"/>
      <c r="G87" s="3"/>
      <c r="H87" s="45"/>
      <c r="L87"/>
      <c r="M87"/>
      <c r="N87"/>
      <c r="O87"/>
      <c r="P87"/>
      <c r="Q87"/>
      <c r="R87"/>
    </row>
    <row r="88" spans="1:18" x14ac:dyDescent="0.25">
      <c r="C88"/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</sheetData>
  <mergeCells count="15">
    <mergeCell ref="A15:B15"/>
    <mergeCell ref="A16:B16"/>
    <mergeCell ref="A1:B1"/>
    <mergeCell ref="A2:B2"/>
    <mergeCell ref="A11:B11"/>
    <mergeCell ref="A12:B12"/>
    <mergeCell ref="A13:B13"/>
    <mergeCell ref="A14:B14"/>
    <mergeCell ref="A3:B3"/>
    <mergeCell ref="A8:B8"/>
    <mergeCell ref="A9:B9"/>
    <mergeCell ref="A10:B10"/>
    <mergeCell ref="A6:B6"/>
    <mergeCell ref="A7:B7"/>
    <mergeCell ref="A5:B5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2023-11-29T10:28:51Z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