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1824" documentId="14_{A48F4B07-3EF3-43E5-91B2-4CA340E6013A}" xr6:coauthVersionLast="47" xr6:coauthVersionMax="47" xr10:uidLastSave="{74B3D8C5-2D43-4DE8-8F3F-FAE5F5E6936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3" l="1"/>
  <c r="C12" i="3" l="1"/>
  <c r="C11" i="3"/>
  <c r="C10" i="3"/>
  <c r="C9" i="3"/>
  <c r="C8" i="3"/>
  <c r="C7" i="3"/>
  <c r="C6" i="3"/>
  <c r="C4" i="3"/>
  <c r="C5" i="3"/>
  <c r="C3" i="3"/>
  <c r="F73" i="3"/>
  <c r="F74" i="3"/>
  <c r="F75" i="3"/>
  <c r="F76" i="3"/>
  <c r="F77" i="3"/>
  <c r="F78" i="3"/>
  <c r="F79" i="3"/>
  <c r="F80" i="3"/>
  <c r="F81" i="3"/>
  <c r="F82" i="3"/>
  <c r="F72" i="3"/>
  <c r="H66" i="3"/>
  <c r="F66" i="3"/>
  <c r="H45" i="3" l="1"/>
  <c r="H65" i="3"/>
  <c r="F65" i="3" l="1"/>
  <c r="F31" i="3" l="1"/>
  <c r="H43" i="3"/>
  <c r="H44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35" i="3" l="1"/>
  <c r="F36" i="3"/>
  <c r="F37" i="3"/>
  <c r="F38" i="3"/>
  <c r="F39" i="3"/>
  <c r="F40" i="3"/>
  <c r="F41" i="3"/>
  <c r="F42" i="3"/>
  <c r="H41" i="3"/>
  <c r="H42" i="3"/>
  <c r="H35" i="3" l="1"/>
  <c r="H36" i="3"/>
  <c r="H31" i="3"/>
  <c r="H39" i="3" l="1"/>
  <c r="H40" i="3"/>
  <c r="H32" i="3"/>
  <c r="H38" i="3"/>
  <c r="D82" i="3"/>
  <c r="D81" i="3"/>
  <c r="D80" i="3"/>
  <c r="D79" i="3"/>
  <c r="D78" i="3"/>
  <c r="D77" i="3"/>
  <c r="D72" i="3"/>
  <c r="H34" i="3" l="1"/>
  <c r="H33" i="3"/>
  <c r="H30" i="3" l="1"/>
  <c r="H29" i="3"/>
  <c r="H28" i="3"/>
  <c r="H37" i="3"/>
  <c r="H20" i="3" l="1"/>
  <c r="H21" i="3"/>
  <c r="H22" i="3"/>
  <c r="H23" i="3"/>
  <c r="H24" i="3"/>
  <c r="H25" i="3"/>
  <c r="H26" i="3"/>
  <c r="H27" i="3"/>
  <c r="C17" i="3" l="1" a="1"/>
  <c r="C17" i="3" s="1"/>
  <c r="F30" i="3"/>
  <c r="F28" i="3"/>
  <c r="F33" i="3"/>
  <c r="F20" i="3" l="1"/>
  <c r="F21" i="3"/>
  <c r="F22" i="3"/>
  <c r="F23" i="3"/>
  <c r="F24" i="3"/>
  <c r="F25" i="3"/>
  <c r="F26" i="3"/>
  <c r="F27" i="3"/>
  <c r="F29" i="3"/>
  <c r="F32" i="3"/>
  <c r="F34" i="3"/>
  <c r="C16" i="3"/>
  <c r="G74" i="3" l="1"/>
  <c r="G79" i="3"/>
  <c r="G78" i="3"/>
  <c r="G75" i="3"/>
  <c r="G81" i="3"/>
  <c r="G76" i="3"/>
  <c r="G80" i="3"/>
  <c r="G77" i="3"/>
  <c r="G73" i="3"/>
  <c r="G72" i="3"/>
  <c r="G82" i="3" s="1"/>
  <c r="C2" i="3"/>
  <c r="G83" i="3" l="1"/>
  <c r="E71" i="3" l="1"/>
  <c r="G49" i="3" s="1"/>
  <c r="E77" i="3" s="1"/>
  <c r="G52" i="3" l="1"/>
  <c r="G64" i="3"/>
  <c r="G50" i="3"/>
  <c r="G51" i="3"/>
  <c r="G41" i="3"/>
  <c r="E73" i="3" s="1"/>
  <c r="G65" i="3"/>
  <c r="G66" i="3"/>
  <c r="E79" i="3" s="1"/>
  <c r="G60" i="3"/>
  <c r="G56" i="3"/>
  <c r="G61" i="3"/>
  <c r="G42" i="3"/>
  <c r="G59" i="3"/>
  <c r="G43" i="3"/>
  <c r="G44" i="3"/>
  <c r="E75" i="3" s="1"/>
  <c r="G35" i="3"/>
  <c r="G40" i="3"/>
  <c r="G48" i="3"/>
  <c r="G31" i="3"/>
  <c r="G46" i="3"/>
  <c r="G54" i="3"/>
  <c r="G55" i="3"/>
  <c r="G62" i="3"/>
  <c r="G45" i="3"/>
  <c r="G34" i="3"/>
  <c r="G63" i="3"/>
  <c r="G36" i="3"/>
  <c r="G47" i="3"/>
  <c r="G30" i="3"/>
  <c r="G58" i="3"/>
  <c r="G53" i="3"/>
  <c r="G57" i="3"/>
  <c r="G25" i="3"/>
  <c r="G20" i="3"/>
  <c r="G26" i="3"/>
  <c r="G27" i="3"/>
  <c r="G33" i="3"/>
  <c r="G38" i="3"/>
  <c r="G37" i="3"/>
  <c r="G22" i="3"/>
  <c r="G28" i="3"/>
  <c r="G32" i="3"/>
  <c r="G24" i="3"/>
  <c r="G23" i="3"/>
  <c r="G39" i="3"/>
  <c r="G21" i="3"/>
  <c r="G29" i="3"/>
  <c r="E80" i="3" l="1"/>
  <c r="E81" i="3"/>
  <c r="E76" i="3"/>
  <c r="E78" i="3"/>
  <c r="E74" i="3"/>
  <c r="E82" i="3" l="1"/>
  <c r="E83" i="3" s="1"/>
</calcChain>
</file>

<file path=xl/sharedStrings.xml><?xml version="1.0" encoding="utf-8"?>
<sst xmlns="http://schemas.openxmlformats.org/spreadsheetml/2006/main" count="139" uniqueCount="91">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</sst>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Sheet1!$D$72:$D$82</c:f>
              <c:strCache>
                <c:ptCount val="11"/>
                <c:pt idx="0">
                  <c:v>SingleStocks</c:v>
                </c:pt>
                <c:pt idx="5">
                  <c:v>QQQ</c:v>
                </c:pt>
                <c:pt idx="6">
                  <c:v>Bonds</c:v>
                </c:pt>
                <c:pt idx="7">
                  <c:v>Gold</c:v>
                </c:pt>
                <c:pt idx="8">
                  <c:v>Commodities</c:v>
                </c:pt>
                <c:pt idx="9">
                  <c:v>Crypto</c:v>
                </c:pt>
                <c:pt idx="10">
                  <c:v>Cash</c:v>
                </c:pt>
              </c:strCache>
            </c:strRef>
          </c:cat>
          <c:val>
            <c:numRef>
              <c:f>Sheet1!$E$72:$E$82</c:f>
              <c:numCache>
                <c:formatCode>General</c:formatCode>
                <c:ptCount val="11"/>
                <c:pt idx="0">
                  <c:v>5.1999999999999998E-2</c:v>
                </c:pt>
                <c:pt idx="1">
                  <c:v>7.0000000000000001E-3</c:v>
                </c:pt>
                <c:pt idx="2">
                  <c:v>7.6999999999999999E-2</c:v>
                </c:pt>
                <c:pt idx="3">
                  <c:v>0.01</c:v>
                </c:pt>
                <c:pt idx="4">
                  <c:v>6.0000000000000001E-3</c:v>
                </c:pt>
                <c:pt idx="5">
                  <c:v>0.23</c:v>
                </c:pt>
                <c:pt idx="6">
                  <c:v>0.23300000000000001</c:v>
                </c:pt>
                <c:pt idx="7">
                  <c:v>7.0000000000000007E-2</c:v>
                </c:pt>
                <c:pt idx="8">
                  <c:v>0.02</c:v>
                </c:pt>
                <c:pt idx="9">
                  <c:v>1.2999999999999999E-2</c:v>
                </c:pt>
                <c:pt idx="10">
                  <c:v>0.28199999999999992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6" totalsRowShown="0" headerRowDxfId="13" dataDxfId="11" headerRowBorderDxfId="12" tableBorderDxfId="10" totalsRowBorderDxfId="9">
  <autoFilter ref="A19:I86" xr:uid="{00000000-0009-0000-0100-000001000000}"/>
  <sortState xmlns:xlrd2="http://schemas.microsoft.com/office/spreadsheetml/2017/richdata2" ref="A20:I85">
    <sortCondition ref="A19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topLeftCell="A43" zoomScale="115" zoomScaleNormal="115" workbookViewId="0">
      <selection activeCell="I58" sqref="I5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4" t="s">
        <v>0</v>
      </c>
      <c r="B1" s="64"/>
      <c r="C1" s="12">
        <v>45261</v>
      </c>
      <c r="E1" s="14"/>
      <c r="F1" s="14"/>
      <c r="G1" s="47"/>
      <c r="H1" s="14"/>
    </row>
    <row r="2" spans="1:8" s="13" customFormat="1" x14ac:dyDescent="0.25">
      <c r="A2" s="64" t="s">
        <v>10</v>
      </c>
      <c r="B2" s="64"/>
      <c r="C2" s="15">
        <f>C17/C16</f>
        <v>4.1772205819712775</v>
      </c>
      <c r="D2"/>
      <c r="E2" s="24"/>
      <c r="F2" s="17"/>
      <c r="G2" s="17"/>
      <c r="H2" s="16"/>
    </row>
    <row r="3" spans="1:8" s="13" customFormat="1" x14ac:dyDescent="0.25">
      <c r="A3" s="66" t="s">
        <v>47</v>
      </c>
      <c r="B3" s="67"/>
      <c r="C3" s="15">
        <f>SUM(H20:H40)/C16</f>
        <v>0.30133336615619538</v>
      </c>
      <c r="D3"/>
      <c r="E3" s="24"/>
      <c r="F3" s="17"/>
      <c r="G3" s="17"/>
      <c r="H3" s="16"/>
    </row>
    <row r="4" spans="1:8" s="13" customFormat="1" x14ac:dyDescent="0.25">
      <c r="A4" s="66" t="s">
        <v>89</v>
      </c>
      <c r="B4" s="67"/>
      <c r="C4" s="15">
        <f>H41/C16</f>
        <v>4.0772083576606409E-2</v>
      </c>
      <c r="D4"/>
      <c r="E4" s="24"/>
      <c r="F4" s="17"/>
      <c r="G4" s="17"/>
      <c r="H4" s="16"/>
    </row>
    <row r="5" spans="1:8" s="13" customFormat="1" x14ac:dyDescent="0.25">
      <c r="A5" s="62" t="s">
        <v>84</v>
      </c>
      <c r="B5" s="63"/>
      <c r="C5" s="15">
        <f>SUM(H42:H43)/C16</f>
        <v>0.44848059317606204</v>
      </c>
      <c r="D5"/>
      <c r="E5" s="24"/>
      <c r="F5" s="17"/>
      <c r="G5" s="17"/>
      <c r="H5" s="16"/>
    </row>
    <row r="6" spans="1:8" s="13" customFormat="1" x14ac:dyDescent="0.25">
      <c r="A6" s="62" t="s">
        <v>90</v>
      </c>
      <c r="B6" s="63"/>
      <c r="C6" s="15">
        <f>SUM(H44)/C16</f>
        <v>5.8243739415743498E-2</v>
      </c>
      <c r="D6"/>
      <c r="E6" s="24"/>
      <c r="F6" s="17"/>
      <c r="G6" s="17"/>
      <c r="H6" s="16"/>
    </row>
    <row r="7" spans="1:8" s="13" customFormat="1" x14ac:dyDescent="0.25">
      <c r="A7" s="66" t="s">
        <v>52</v>
      </c>
      <c r="B7" s="67"/>
      <c r="C7" s="15">
        <f>SUM(H45:H48)/C16</f>
        <v>3.2052623335229326E-2</v>
      </c>
      <c r="D7"/>
      <c r="E7" s="24"/>
      <c r="F7" s="17"/>
      <c r="G7" s="17"/>
      <c r="H7" s="16"/>
    </row>
    <row r="8" spans="1:8" s="13" customFormat="1" x14ac:dyDescent="0.25">
      <c r="A8" s="66" t="s">
        <v>30</v>
      </c>
      <c r="B8" s="67"/>
      <c r="C8" s="15">
        <f>H49/C16</f>
        <v>1.3396233904087536</v>
      </c>
      <c r="D8"/>
      <c r="E8" s="24"/>
      <c r="F8" s="17"/>
      <c r="G8" s="17"/>
      <c r="H8" s="16"/>
    </row>
    <row r="9" spans="1:8" s="13" customFormat="1" x14ac:dyDescent="0.25">
      <c r="A9" s="66" t="s">
        <v>25</v>
      </c>
      <c r="B9" s="67"/>
      <c r="C9" s="15">
        <f>SUM(H54:H63)/C16</f>
        <v>1.3543167634810274</v>
      </c>
      <c r="D9"/>
      <c r="E9" s="24"/>
      <c r="F9" s="17"/>
      <c r="G9" s="17"/>
      <c r="H9" s="16"/>
    </row>
    <row r="10" spans="1:8" s="13" customFormat="1" x14ac:dyDescent="0.25">
      <c r="A10" s="66" t="s">
        <v>26</v>
      </c>
      <c r="B10" s="67"/>
      <c r="C10" s="15">
        <f>SUM(H50:H53)/C16</f>
        <v>0.11653748181829525</v>
      </c>
      <c r="D10"/>
      <c r="E10" s="24"/>
      <c r="F10" s="17"/>
      <c r="G10" s="17"/>
      <c r="H10" s="16"/>
    </row>
    <row r="11" spans="1:8" s="13" customFormat="1" x14ac:dyDescent="0.25">
      <c r="A11" s="66" t="s">
        <v>48</v>
      </c>
      <c r="B11" s="67"/>
      <c r="C11" s="15">
        <f>SUM(H66)/C16</f>
        <v>0.40770880083694505</v>
      </c>
      <c r="D11"/>
      <c r="E11" s="24"/>
      <c r="F11" s="17"/>
      <c r="G11" s="17"/>
      <c r="H11" s="16"/>
    </row>
    <row r="12" spans="1:8" s="13" customFormat="1" ht="27.75" customHeight="1" x14ac:dyDescent="0.25">
      <c r="A12" s="65" t="s">
        <v>46</v>
      </c>
      <c r="B12" s="65"/>
      <c r="C12" s="15">
        <f>SUM(H64:H65)/C16</f>
        <v>7.8151739766419412E-2</v>
      </c>
      <c r="D12" s="23"/>
      <c r="E12" s="16"/>
      <c r="F12" s="17"/>
      <c r="G12" s="17"/>
      <c r="H12" s="16"/>
    </row>
    <row r="13" spans="1:8" s="13" customFormat="1" ht="12.75" x14ac:dyDescent="0.25">
      <c r="A13" s="64" t="s">
        <v>8</v>
      </c>
      <c r="B13" s="64"/>
      <c r="C13" s="18">
        <v>36945793</v>
      </c>
      <c r="D13" s="25"/>
      <c r="E13" s="17"/>
      <c r="F13" s="17"/>
      <c r="G13" s="17"/>
      <c r="H13" s="16"/>
    </row>
    <row r="14" spans="1:8" s="13" customFormat="1" ht="12.75" x14ac:dyDescent="0.25">
      <c r="A14" s="64" t="s">
        <v>6</v>
      </c>
      <c r="B14" s="64"/>
      <c r="C14" s="18">
        <v>0</v>
      </c>
      <c r="F14" s="17"/>
      <c r="H14" s="40"/>
    </row>
    <row r="15" spans="1:8" s="13" customFormat="1" ht="12.75" x14ac:dyDescent="0.25">
      <c r="A15" s="64" t="s">
        <v>7</v>
      </c>
      <c r="B15" s="64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4" t="s">
        <v>9</v>
      </c>
      <c r="B16" s="64"/>
      <c r="C16" s="18">
        <f>C13+C14-C15</f>
        <v>36945793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5" t="s">
        <v>5</v>
      </c>
      <c r="B17" s="65"/>
      <c r="C17" s="11">
        <f t="array" ref="C17">SUM(ABS(Table132[Target allocation ($)]))</f>
        <v>154330726.93685034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1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2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50">
        <v>41.89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($)]]/(IF(G83&gt;0, G71,E71)*C16)*100,3)</f>
        <v>0.247</v>
      </c>
      <c r="H20" s="43">
        <f>Table132[[#This Row],[New position]]*Table132[[#This Row],[Last_Price]]</f>
        <v>532212.44999999995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50">
        <v>203.37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($)]]/(IF(G83&gt;0, G71,E71)*C16)*100,3)</f>
        <v>0.25900000000000001</v>
      </c>
      <c r="H21" s="43">
        <f>Table132[[#This Row],[New position]]*Table132[[#This Row],[Last_Price]]</f>
        <v>557843.91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37</v>
      </c>
      <c r="B22" s="37" t="s">
        <v>14</v>
      </c>
      <c r="C22" s="50">
        <v>52.56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($)]]/(IF(G83&gt;0, G71,E71)*C16)*100,3)</f>
        <v>0.26100000000000001</v>
      </c>
      <c r="H22" s="43">
        <f>Table132[[#This Row],[New position]]*Table132[[#This Row],[Last_Price]]</f>
        <v>561918.96000000008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38</v>
      </c>
      <c r="B23" s="37" t="s">
        <v>14</v>
      </c>
      <c r="C23" s="50">
        <v>138.78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($)]]/(IF(G83&gt;0, G71,E71)*C16)*100,3)</f>
        <v>0.25700000000000001</v>
      </c>
      <c r="H23" s="43">
        <f>Table132[[#This Row],[New position]]*Table132[[#This Row],[Last_Price]]</f>
        <v>553177.07999999996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39</v>
      </c>
      <c r="B24" s="37" t="s">
        <v>14</v>
      </c>
      <c r="C24" s="50">
        <v>213.21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($)]]/(IF(G83&gt;0, G71,E71)*C16)*100,3)</f>
        <v>0.251</v>
      </c>
      <c r="H24" s="43">
        <f>Table132[[#This Row],[New position]]*Table132[[#This Row],[Last_Price]]</f>
        <v>540913.77</v>
      </c>
      <c r="I24" s="53"/>
      <c r="M24"/>
      <c r="N24"/>
      <c r="O24"/>
      <c r="P24"/>
      <c r="Q24"/>
      <c r="R24"/>
    </row>
    <row r="25" spans="1:18" x14ac:dyDescent="0.25">
      <c r="A25" s="37" t="s">
        <v>40</v>
      </c>
      <c r="B25" s="37" t="s">
        <v>14</v>
      </c>
      <c r="C25" s="50">
        <v>2202.25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($)]]/(IF(G83&gt;0, G71,E71)*C16)*100,3)</f>
        <v>0.252</v>
      </c>
      <c r="H25" s="43">
        <f>Table132[[#This Row],[New position]]*Table132[[#This Row],[Last_Price]]</f>
        <v>541753.5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60</v>
      </c>
      <c r="B26" s="37" t="s">
        <v>14</v>
      </c>
      <c r="C26" s="50">
        <v>160.47999999999999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($)]]/(IF(G83&gt;0, G71,E71)*C16)*100,3)</f>
        <v>0.249</v>
      </c>
      <c r="H26" s="43">
        <f>Table132[[#This Row],[New position]]*Table132[[#This Row],[Last_Price]]</f>
        <v>535200.79999999993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63</v>
      </c>
      <c r="B27" s="37" t="s">
        <v>14</v>
      </c>
      <c r="C27" s="50">
        <v>190.21</v>
      </c>
      <c r="D27" s="37">
        <v>2839</v>
      </c>
      <c r="E27" s="37">
        <v>2839</v>
      </c>
      <c r="F27" s="36">
        <f>Table132[[#This Row],[New position]]-Table132[[#This Row],[Old position]]</f>
        <v>0</v>
      </c>
      <c r="G27" s="37">
        <f>ROUND(Table132[[#This Row],[Target allocation ($)]]/(IF(G83&gt;0, G71,E71)*C16)*100,3)</f>
        <v>0.251</v>
      </c>
      <c r="H27" s="43">
        <f>Table132[[#This Row],[New position]]*Table132[[#This Row],[Last_Price]]</f>
        <v>540006.19000000006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64</v>
      </c>
      <c r="B28" s="37" t="s">
        <v>14</v>
      </c>
      <c r="C28" s="50">
        <v>379.34</v>
      </c>
      <c r="D28" s="37">
        <v>1436</v>
      </c>
      <c r="E28" s="37">
        <v>1436</v>
      </c>
      <c r="F28" s="36">
        <f>Table132[[#This Row],[New position]]-Table132[[#This Row],[Old position]]</f>
        <v>0</v>
      </c>
      <c r="G28" s="37">
        <f>ROUND(Table132[[#This Row],[Target allocation ($)]]/(IF(G83&gt;0, G71,E71)*C16)*100,3)</f>
        <v>0.253</v>
      </c>
      <c r="H28" s="43">
        <f>Table132[[#This Row],[New position]]*Table132[[#This Row],[Last_Price]]</f>
        <v>544732.24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65</v>
      </c>
      <c r="B29" s="37" t="s">
        <v>14</v>
      </c>
      <c r="C29" s="50">
        <v>132.86000000000001</v>
      </c>
      <c r="D29" s="37">
        <v>3945</v>
      </c>
      <c r="E29" s="37">
        <v>3945</v>
      </c>
      <c r="F29" s="36">
        <f>Table132[[#This Row],[New position]]-Table132[[#This Row],[Old position]]</f>
        <v>0</v>
      </c>
      <c r="G29" s="37">
        <f>ROUND(Table132[[#This Row],[Target allocation ($)]]/(IF(G83&gt;0, G71,E71)*C16)*100,3)</f>
        <v>0.24399999999999999</v>
      </c>
      <c r="H29" s="43">
        <f>Table132[[#This Row],[New position]]*Table132[[#This Row],[Last_Price]]</f>
        <v>524132.70000000007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66</v>
      </c>
      <c r="B30" s="37" t="s">
        <v>14</v>
      </c>
      <c r="C30" s="50">
        <v>37.1</v>
      </c>
      <c r="D30" s="37">
        <v>15018</v>
      </c>
      <c r="E30" s="37">
        <v>15018</v>
      </c>
      <c r="F30" s="36">
        <f>Table132[[#This Row],[New position]]-Table132[[#This Row],[Old position]]</f>
        <v>0</v>
      </c>
      <c r="G30" s="37">
        <f>ROUND(Table132[[#This Row],[Target allocation ($)]]/(IF(G83&gt;0, G71,E71)*C16)*100,3)</f>
        <v>0.25900000000000001</v>
      </c>
      <c r="H30" s="43">
        <f>Table132[[#This Row],[New position]]*Table132[[#This Row],[Last_Price]]</f>
        <v>557167.80000000005</v>
      </c>
      <c r="I30" s="30"/>
      <c r="L30"/>
      <c r="M30"/>
      <c r="N30"/>
      <c r="O30"/>
      <c r="P30"/>
      <c r="Q30"/>
      <c r="R30"/>
    </row>
    <row r="31" spans="1:18" x14ac:dyDescent="0.25">
      <c r="A31" s="48" t="s">
        <v>67</v>
      </c>
      <c r="B31" s="37" t="s">
        <v>14</v>
      </c>
      <c r="C31" s="50">
        <v>590</v>
      </c>
      <c r="D31" s="37">
        <v>914</v>
      </c>
      <c r="E31" s="37">
        <v>914</v>
      </c>
      <c r="F31" s="36">
        <f>Table132[[#This Row],[New position]]-Table132[[#This Row],[Old position]]</f>
        <v>0</v>
      </c>
      <c r="G31" s="37">
        <f>ROUND(Table132[[#This Row],[Target allocation ($)]]/(IF(G83&gt;0, G71,E71)*C16)*100,3)</f>
        <v>0.251</v>
      </c>
      <c r="H31" s="43">
        <f>Table132[[#This Row],[New position]]*Table132[[#This Row],[Last_Price]]</f>
        <v>539260</v>
      </c>
      <c r="I31" s="58"/>
      <c r="L31"/>
      <c r="M31"/>
      <c r="N31"/>
      <c r="O31"/>
      <c r="P31"/>
      <c r="Q31"/>
      <c r="R31"/>
    </row>
    <row r="32" spans="1:18" x14ac:dyDescent="0.25">
      <c r="A32" s="37" t="s">
        <v>68</v>
      </c>
      <c r="B32" s="37" t="s">
        <v>14</v>
      </c>
      <c r="C32" s="50">
        <v>121.04</v>
      </c>
      <c r="D32" s="37">
        <v>4440</v>
      </c>
      <c r="E32" s="37">
        <v>4440</v>
      </c>
      <c r="F32" s="36">
        <f>Table132[[#This Row],[New position]]-Table132[[#This Row],[Old position]]</f>
        <v>0</v>
      </c>
      <c r="G32" s="37">
        <f>ROUND(Table132[[#This Row],[Target allocation ($)]]/(IF(G83&gt;0, G71,E71)*C16)*100,3)</f>
        <v>0.25</v>
      </c>
      <c r="H32" s="43">
        <f>Table132[[#This Row],[New position]]*Table132[[#This Row],[Last_Price]]</f>
        <v>537417.6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69</v>
      </c>
      <c r="B33" s="37" t="s">
        <v>14</v>
      </c>
      <c r="C33" s="50">
        <v>121.79</v>
      </c>
      <c r="D33" s="37">
        <v>4511</v>
      </c>
      <c r="E33" s="37">
        <v>4511</v>
      </c>
      <c r="F33" s="36">
        <f>Table132[[#This Row],[New position]]-Table132[[#This Row],[Old position]]</f>
        <v>0</v>
      </c>
      <c r="G33" s="37">
        <f>ROUND(Table132[[#This Row],[Target allocation ($)]]/(IF(G83&gt;0, G71,E71)*C16)*100,3)</f>
        <v>0.255</v>
      </c>
      <c r="H33" s="43">
        <f>Table132[[#This Row],[New position]]*Table132[[#This Row],[Last_Price]]</f>
        <v>549394.69000000006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70</v>
      </c>
      <c r="B34" s="37" t="s">
        <v>14</v>
      </c>
      <c r="C34" s="50">
        <v>360</v>
      </c>
      <c r="D34" s="37">
        <v>1492</v>
      </c>
      <c r="E34" s="37">
        <v>1492</v>
      </c>
      <c r="F34" s="36">
        <f>Table132[[#This Row],[New position]]-Table132[[#This Row],[Old position]]</f>
        <v>0</v>
      </c>
      <c r="G34" s="37">
        <f>ROUND(Table132[[#This Row],[Target allocation ($)]]/(IF(G83&gt;0, G71,E71)*C16)*100,3)</f>
        <v>0.25</v>
      </c>
      <c r="H34" s="43">
        <f>Table132[[#This Row],[New position]]*Table132[[#This Row],[Last_Price]]</f>
        <v>537120</v>
      </c>
      <c r="I34" s="30"/>
      <c r="L34"/>
      <c r="M34"/>
      <c r="N34"/>
      <c r="O34"/>
      <c r="P34"/>
      <c r="Q34"/>
      <c r="R34"/>
    </row>
    <row r="35" spans="1:18" x14ac:dyDescent="0.25">
      <c r="A35" s="48" t="s">
        <v>71</v>
      </c>
      <c r="B35" s="37" t="s">
        <v>14</v>
      </c>
      <c r="C35" s="50">
        <v>696.9</v>
      </c>
      <c r="D35" s="37">
        <v>792</v>
      </c>
      <c r="E35" s="37">
        <v>792</v>
      </c>
      <c r="F35" s="36">
        <f>Table132[[#This Row],[New position]]-Table132[[#This Row],[Old position]]</f>
        <v>0</v>
      </c>
      <c r="G35" s="37">
        <f>ROUND(Table132[[#This Row],[Target allocation ($)]]/(IF(G83&gt;0, G71,E71)*C16)*100,3)</f>
        <v>0.25600000000000001</v>
      </c>
      <c r="H35" s="43">
        <f>Table132[[#This Row],[New position]]*Table132[[#This Row],[Last_Price]]</f>
        <v>551944.79999999993</v>
      </c>
      <c r="I35" s="58"/>
      <c r="L35"/>
      <c r="M35"/>
      <c r="N35"/>
      <c r="O35"/>
      <c r="P35"/>
      <c r="Q35"/>
      <c r="R35"/>
    </row>
    <row r="36" spans="1:18" x14ac:dyDescent="0.25">
      <c r="A36" s="48" t="s">
        <v>72</v>
      </c>
      <c r="B36" s="37" t="s">
        <v>14</v>
      </c>
      <c r="C36" s="50">
        <v>350.1</v>
      </c>
      <c r="D36" s="37">
        <v>1531</v>
      </c>
      <c r="E36" s="37">
        <v>1531</v>
      </c>
      <c r="F36" s="36">
        <f>Table132[[#This Row],[New position]]-Table132[[#This Row],[Old position]]</f>
        <v>0</v>
      </c>
      <c r="G36" s="37">
        <f>ROUND(Table132[[#This Row],[Target allocation ($)]]/(IF(G83&gt;0, G71,E71)*C16)*100,3)</f>
        <v>0.249</v>
      </c>
      <c r="H36" s="43">
        <f>Table132[[#This Row],[New position]]*Table132[[#This Row],[Last_Price]]</f>
        <v>536003.1</v>
      </c>
      <c r="I36" s="58"/>
      <c r="L36"/>
      <c r="M36"/>
      <c r="N36"/>
      <c r="O36"/>
      <c r="P36"/>
      <c r="Q36"/>
      <c r="R36"/>
    </row>
    <row r="37" spans="1:18" x14ac:dyDescent="0.25">
      <c r="A37" s="37" t="s">
        <v>73</v>
      </c>
      <c r="B37" s="37" t="s">
        <v>14</v>
      </c>
      <c r="C37" s="50">
        <v>313.49</v>
      </c>
      <c r="D37" s="37">
        <v>1754</v>
      </c>
      <c r="E37" s="37">
        <v>1754</v>
      </c>
      <c r="F37" s="36">
        <f>Table132[[#This Row],[New position]]-Table132[[#This Row],[Old position]]</f>
        <v>0</v>
      </c>
      <c r="G37" s="37">
        <f>ROUND(Table132[[#This Row],[Target allocation ($)]]/(IF(G83&gt;0, G71,E71)*C16)*100,3)</f>
        <v>0.25600000000000001</v>
      </c>
      <c r="H37" s="43">
        <f>Table132[[#This Row],[New position]]*Table132[[#This Row],[Last_Price]]</f>
        <v>549861.46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74</v>
      </c>
      <c r="B38" s="37" t="s">
        <v>14</v>
      </c>
      <c r="C38" s="50">
        <v>115.32</v>
      </c>
      <c r="D38" s="37">
        <v>4131</v>
      </c>
      <c r="E38" s="37">
        <v>4131</v>
      </c>
      <c r="F38" s="36">
        <f>Table132[[#This Row],[New position]]-Table132[[#This Row],[Old position]]</f>
        <v>0</v>
      </c>
      <c r="G38" s="37">
        <f>ROUND(Table132[[#This Row],[Target allocation ($)]]/(IF(G83&gt;0, G71,E71)*C16)*100,3)</f>
        <v>0.221</v>
      </c>
      <c r="H38" s="43">
        <f>Table132[[#This Row],[New position]]*Table132[[#This Row],[Last_Price]]</f>
        <v>476386.92</v>
      </c>
      <c r="I38" s="31"/>
      <c r="L38"/>
      <c r="M38"/>
      <c r="N38"/>
      <c r="O38"/>
      <c r="P38"/>
      <c r="Q38"/>
      <c r="R38"/>
    </row>
    <row r="39" spans="1:18" x14ac:dyDescent="0.25">
      <c r="A39" s="37" t="s">
        <v>81</v>
      </c>
      <c r="B39" s="37" t="s">
        <v>14</v>
      </c>
      <c r="C39" s="50">
        <v>127.67</v>
      </c>
      <c r="D39" s="37">
        <v>3380</v>
      </c>
      <c r="E39" s="37">
        <v>3380</v>
      </c>
      <c r="F39" s="36">
        <f>Table132[[#This Row],[New position]]-Table132[[#This Row],[Old position]]</f>
        <v>0</v>
      </c>
      <c r="G39" s="37">
        <f>ROUND(Table132[[#This Row],[Target allocation ($)]]/(IF(G83&gt;0, G71,E71)*C16)*100,3)</f>
        <v>0.20100000000000001</v>
      </c>
      <c r="H39" s="43">
        <f>Table132[[#This Row],[New position]]*Table132[[#This Row],[Last_Price]]</f>
        <v>431524.6</v>
      </c>
      <c r="I39" s="55"/>
      <c r="L39" s="54"/>
      <c r="M39"/>
      <c r="N39"/>
      <c r="O39"/>
      <c r="P39"/>
      <c r="Q39"/>
      <c r="R39"/>
    </row>
    <row r="40" spans="1:18" x14ac:dyDescent="0.25">
      <c r="A40" s="37" t="s">
        <v>83</v>
      </c>
      <c r="B40" s="37" t="s">
        <v>14</v>
      </c>
      <c r="C40" s="50">
        <v>102.48</v>
      </c>
      <c r="D40" s="37">
        <v>4245</v>
      </c>
      <c r="E40" s="37">
        <v>4245</v>
      </c>
      <c r="F40" s="36">
        <f>Table132[[#This Row],[New position]]-Table132[[#This Row],[Old position]]</f>
        <v>0</v>
      </c>
      <c r="G40" s="37">
        <f>ROUND(Table132[[#This Row],[Target allocation ($)]]/(IF(G83&gt;0, G71,E71)*C16)*100,3)</f>
        <v>0.20200000000000001</v>
      </c>
      <c r="H40" s="43">
        <f>Table132[[#This Row],[New position]]*Table132[[#This Row],[Last_Price]]</f>
        <v>435027.60000000003</v>
      </c>
      <c r="I40" s="59"/>
      <c r="L40" s="54"/>
      <c r="M40"/>
      <c r="N40"/>
      <c r="O40"/>
      <c r="P40"/>
      <c r="Q40"/>
      <c r="R40"/>
    </row>
    <row r="41" spans="1:18" x14ac:dyDescent="0.25">
      <c r="A41" s="37" t="s">
        <v>75</v>
      </c>
      <c r="B41" s="37" t="s">
        <v>14</v>
      </c>
      <c r="C41" s="50">
        <v>180.64</v>
      </c>
      <c r="D41" s="37">
        <v>3031</v>
      </c>
      <c r="E41" s="37">
        <v>8339</v>
      </c>
      <c r="F41" s="36">
        <f>Table132[[#This Row],[New position]]-Table132[[#This Row],[Old position]]</f>
        <v>5308</v>
      </c>
      <c r="G41" s="37">
        <f>ROUND(Table132[[#This Row],[Target allocation ($)]]/(IF(G83&gt;0, G71,E71)*C16)*100,3)</f>
        <v>0.7</v>
      </c>
      <c r="H41" s="43">
        <f>Table132[[#This Row],[New position]]*Table132[[#This Row],[Last_Price]]</f>
        <v>1506356.96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61</v>
      </c>
      <c r="B42" s="48" t="s">
        <v>14</v>
      </c>
      <c r="C42" s="50">
        <v>48.84</v>
      </c>
      <c r="D42" s="37">
        <v>157569</v>
      </c>
      <c r="E42" s="37">
        <v>176239</v>
      </c>
      <c r="F42" s="36">
        <f>Table132[[#This Row],[New position]]-Table132[[#This Row],[Old position]]</f>
        <v>18670</v>
      </c>
      <c r="G42" s="37">
        <f>ROUND(Table132[[#This Row],[Target allocation ($)]]/(IF(G83&gt;0, G71,E71)*C16)*100,3)</f>
        <v>4</v>
      </c>
      <c r="H42" s="43">
        <f>Table132[[#This Row],[New position]]*Table132[[#This Row],[Last_Price]]</f>
        <v>8607512.7599999998</v>
      </c>
      <c r="I42" s="59"/>
      <c r="L42" s="54"/>
      <c r="M42"/>
      <c r="N42"/>
      <c r="O42"/>
      <c r="P42"/>
      <c r="Q42"/>
      <c r="R42"/>
    </row>
    <row r="43" spans="1:18" x14ac:dyDescent="0.25">
      <c r="A43" s="48" t="s">
        <v>62</v>
      </c>
      <c r="B43" s="48" t="s">
        <v>14</v>
      </c>
      <c r="C43" s="50">
        <v>92.84</v>
      </c>
      <c r="D43" s="37">
        <v>75768</v>
      </c>
      <c r="E43" s="37">
        <v>85760</v>
      </c>
      <c r="F43" s="36">
        <f>Table132[[#This Row],[New position]]-Table132[[#This Row],[Old position]]</f>
        <v>9992</v>
      </c>
      <c r="G43" s="37">
        <f>ROUND(Table132[[#This Row],[Target allocation ($)]]/(IF(G83&gt;0, G71,E71)*C16)*100,3)</f>
        <v>3.7</v>
      </c>
      <c r="H43" s="43">
        <f>Table132[[#This Row],[New position]]*Table132[[#This Row],[Last_Price]]</f>
        <v>7961958.4000000004</v>
      </c>
      <c r="I43" s="59"/>
      <c r="L43" s="54"/>
      <c r="M43"/>
      <c r="N43"/>
      <c r="O43"/>
      <c r="P43"/>
      <c r="Q43"/>
      <c r="R43"/>
    </row>
    <row r="44" spans="1:18" x14ac:dyDescent="0.25">
      <c r="A44" s="48" t="s">
        <v>85</v>
      </c>
      <c r="B44" s="48" t="s">
        <v>14</v>
      </c>
      <c r="C44" s="50">
        <v>65.78</v>
      </c>
      <c r="D44" s="37">
        <v>0</v>
      </c>
      <c r="E44" s="37">
        <v>32713</v>
      </c>
      <c r="F44" s="36">
        <f>Table132[[#This Row],[New position]]-Table132[[#This Row],[Old position]]</f>
        <v>32713</v>
      </c>
      <c r="G44" s="37">
        <f>ROUND(Table132[[#This Row],[Target allocation ($)]]/(IF(G83&gt;0, G71,E71)*C16)*100,3)</f>
        <v>1</v>
      </c>
      <c r="H44" s="43">
        <f>Table132[[#This Row],[New position]]*Table132[[#This Row],[Last_Price]]</f>
        <v>2151861.14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600519</v>
      </c>
      <c r="B45" s="48" t="s">
        <v>14</v>
      </c>
      <c r="C45" s="50">
        <v>246.08938547485999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($)]]/(IF(G83&gt;0, G71,E71)*C16)*100,3)</f>
        <v>0.10299999999999999</v>
      </c>
      <c r="H45" s="43">
        <f>Table132[[#This Row],[New position]]*Table132[[#This Row],[Last_Price]]</f>
        <v>221480.446927374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700</v>
      </c>
      <c r="B46" s="48" t="s">
        <v>14</v>
      </c>
      <c r="C46" s="50">
        <v>41.052631578947398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($)]]/(IF(G83&gt;0, G71,E71)*C16)*100,3)</f>
        <v>0.246</v>
      </c>
      <c r="H46" s="43">
        <f>Table132[[#This Row],[New position]]*Table132[[#This Row],[Last_Price]]</f>
        <v>529578.94736842148</v>
      </c>
      <c r="I46" s="59"/>
      <c r="L46" s="54"/>
      <c r="M46"/>
      <c r="N46"/>
      <c r="O46"/>
      <c r="P46"/>
      <c r="Q46"/>
      <c r="R46"/>
    </row>
    <row r="47" spans="1:18" x14ac:dyDescent="0.25">
      <c r="A47" s="48">
        <v>9988</v>
      </c>
      <c r="B47" s="48" t="s">
        <v>14</v>
      </c>
      <c r="C47" s="50">
        <v>9.2297817715019299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($)]]/(IF(G83&gt;0, G71,E71)*C16)*100,3)</f>
        <v>9.4E-2</v>
      </c>
      <c r="H47" s="43">
        <f>Table132[[#This Row],[New position]]*Table132[[#This Row],[Last_Price]]</f>
        <v>203055.19897304245</v>
      </c>
      <c r="I47" s="59"/>
      <c r="L47" s="54"/>
      <c r="M47"/>
      <c r="N47"/>
      <c r="O47"/>
      <c r="P47"/>
      <c r="Q47"/>
      <c r="R47"/>
    </row>
    <row r="48" spans="1:18" x14ac:dyDescent="0.25">
      <c r="A48" s="48">
        <v>9888</v>
      </c>
      <c r="B48" s="48" t="s">
        <v>14</v>
      </c>
      <c r="C48" s="50">
        <v>14.749679075738101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($)]]/(IF(G83&gt;0, G71,E71)*C16)*100,3)</f>
        <v>0.107</v>
      </c>
      <c r="H48" s="43">
        <f>Table132[[#This Row],[New position]]*Table132[[#This Row],[Last_Price]]</f>
        <v>230094.99358151437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11</v>
      </c>
      <c r="B49" s="48" t="s">
        <v>14</v>
      </c>
      <c r="C49" s="50">
        <v>389.28</v>
      </c>
      <c r="D49" s="37">
        <v>116642</v>
      </c>
      <c r="E49" s="37">
        <v>127141</v>
      </c>
      <c r="F49" s="36">
        <f>Table132[[#This Row],[New position]]-Table132[[#This Row],[Old position]]</f>
        <v>10499</v>
      </c>
      <c r="G49" s="37">
        <f>ROUND(Table132[[#This Row],[Target allocation ($)]]/(IF(G83&gt;0, G71,E71)*C16)*100,3)</f>
        <v>23</v>
      </c>
      <c r="H49" s="43">
        <f>Table132[[#This Row],[New position]]*Table132[[#This Row],[Last_Price]]</f>
        <v>49493448.479999997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34</v>
      </c>
      <c r="B50" s="48" t="s">
        <v>14</v>
      </c>
      <c r="C50" s="50">
        <v>49.41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($)]]/(IF(G83&gt;0, G71,E71)*C16)*100,3)</f>
        <v>0.628</v>
      </c>
      <c r="H50" s="43">
        <f>Table132[[#This Row],[New position]]*Table132[[#This Row],[Last_Price]]</f>
        <v>1351314.0899999999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35</v>
      </c>
      <c r="B51" s="48" t="s">
        <v>14</v>
      </c>
      <c r="C51" s="50">
        <v>14.71</v>
      </c>
      <c r="D51" s="37">
        <v>89715</v>
      </c>
      <c r="E51" s="37">
        <v>89715</v>
      </c>
      <c r="F51" s="36">
        <f>Table132[[#This Row],[New position]]-Table132[[#This Row],[Old position]]</f>
        <v>0</v>
      </c>
      <c r="G51" s="37">
        <f>ROUND(Table132[[#This Row],[Target allocation ($)]]/(IF(G83&gt;0, G71,E71)*C16)*100,3)</f>
        <v>0.61299999999999999</v>
      </c>
      <c r="H51" s="43">
        <f>Table132[[#This Row],[New position]]*Table132[[#This Row],[Last_Price]]</f>
        <v>1319707.6500000001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36</v>
      </c>
      <c r="B52" s="48" t="s">
        <v>14</v>
      </c>
      <c r="C52" s="50">
        <v>20.68</v>
      </c>
      <c r="D52" s="37">
        <v>13967</v>
      </c>
      <c r="E52" s="37">
        <v>13967</v>
      </c>
      <c r="F52" s="36">
        <f>Table132[[#This Row],[New position]]-Table132[[#This Row],[Old position]]</f>
        <v>0</v>
      </c>
      <c r="G52" s="37">
        <f>ROUND(Table132[[#This Row],[Target allocation ($)]]/(IF(G83&gt;0, G71,E71)*C16)*100,3)</f>
        <v>0.13400000000000001</v>
      </c>
      <c r="H52" s="43">
        <f>Table132[[#This Row],[New position]]*Table132[[#This Row],[Last_Price]]</f>
        <v>288837.56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80</v>
      </c>
      <c r="B53" s="48" t="s">
        <v>14</v>
      </c>
      <c r="C53" s="50">
        <v>36.61</v>
      </c>
      <c r="D53" s="37">
        <v>36758</v>
      </c>
      <c r="E53" s="37">
        <v>36758</v>
      </c>
      <c r="F53" s="36">
        <f>Table132[[#This Row],[New position]]-Table132[[#This Row],[Old position]]</f>
        <v>0</v>
      </c>
      <c r="G53" s="37">
        <f>ROUND(Table132[[#This Row],[Target allocation ($)]]/(IF(G83&gt;0, G71,E71)*C16)*100,3)</f>
        <v>0.625</v>
      </c>
      <c r="H53" s="43">
        <f>Table132[[#This Row],[New position]]*Table132[[#This Row],[Last_Price]]</f>
        <v>1345710.38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53</v>
      </c>
      <c r="B54" s="48" t="s">
        <v>14</v>
      </c>
      <c r="C54" s="50">
        <v>91.45</v>
      </c>
      <c r="D54" s="37">
        <v>23569</v>
      </c>
      <c r="E54" s="37">
        <v>23569</v>
      </c>
      <c r="F54" s="36">
        <f>Table132[[#This Row],[New position]]-Table132[[#This Row],[Old position]]</f>
        <v>0</v>
      </c>
      <c r="G54" s="37">
        <f>ROUND(Table132[[#This Row],[Target allocation ($)]]/(IF(G83&gt;0, G71,E71)*C16)*100,3)</f>
        <v>1.002</v>
      </c>
      <c r="H54" s="43">
        <f>Table132[[#This Row],[New position]]*Table132[[#This Row],[Last_Price]]</f>
        <v>2155385.0500000003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54</v>
      </c>
      <c r="B55" s="48" t="s">
        <v>14</v>
      </c>
      <c r="C55" s="50">
        <v>50.12</v>
      </c>
      <c r="D55" s="37">
        <v>10761</v>
      </c>
      <c r="E55" s="37">
        <v>10761</v>
      </c>
      <c r="F55" s="36">
        <f>Table132[[#This Row],[New position]]-Table132[[#This Row],[Old position]]</f>
        <v>0</v>
      </c>
      <c r="G55" s="37">
        <f>ROUND(Table132[[#This Row],[Target allocation ($)]]/(IF(G83&gt;0, G71,E71)*C16)*100,3)</f>
        <v>0.251</v>
      </c>
      <c r="H55" s="43">
        <f>Table132[[#This Row],[New position]]*Table132[[#This Row],[Last_Price]]</f>
        <v>539341.31999999995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41</v>
      </c>
      <c r="B56" s="48" t="s">
        <v>14</v>
      </c>
      <c r="C56" s="50">
        <v>78.33</v>
      </c>
      <c r="D56" s="37">
        <v>68769</v>
      </c>
      <c r="E56" s="37">
        <v>75548</v>
      </c>
      <c r="F56" s="36">
        <f>Table132[[#This Row],[New position]]-Table132[[#This Row],[Old position]]</f>
        <v>6779</v>
      </c>
      <c r="G56" s="37">
        <f>ROUND(Table132[[#This Row],[Target allocation ($)]]/(IF(G83&gt;0, G71,E71)*C16)*100,3)</f>
        <v>2.75</v>
      </c>
      <c r="H56" s="43">
        <f>Table132[[#This Row],[New position]]*Table132[[#This Row],[Last_Price]]</f>
        <v>5917674.8399999999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42</v>
      </c>
      <c r="B57" s="48" t="s">
        <v>14</v>
      </c>
      <c r="C57" s="50">
        <v>68.25</v>
      </c>
      <c r="D57" s="37">
        <v>79373</v>
      </c>
      <c r="E57" s="37">
        <v>86706</v>
      </c>
      <c r="F57" s="36">
        <f>Table132[[#This Row],[New position]]-Table132[[#This Row],[Old position]]</f>
        <v>7333</v>
      </c>
      <c r="G57" s="37">
        <f>ROUND(Table132[[#This Row],[Target allocation ($)]]/(IF(G83&gt;0, G71,E71)*C16)*100,3)</f>
        <v>2.75</v>
      </c>
      <c r="H57" s="43">
        <f>Table132[[#This Row],[New position]]*Table132[[#This Row],[Last_Price]]</f>
        <v>5917684.5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55</v>
      </c>
      <c r="B58" s="48" t="s">
        <v>14</v>
      </c>
      <c r="C58" s="50">
        <v>91.6</v>
      </c>
      <c r="D58" s="37">
        <v>58504</v>
      </c>
      <c r="E58" s="37">
        <v>64603</v>
      </c>
      <c r="F58" s="36">
        <f>Table132[[#This Row],[New position]]-Table132[[#This Row],[Old position]]</f>
        <v>6099</v>
      </c>
      <c r="G58" s="37">
        <f>ROUND(Table132[[#This Row],[Target allocation ($)]]/(IF(G83&gt;0, G71,E71)*C16)*100,3)</f>
        <v>2.75</v>
      </c>
      <c r="H58" s="43">
        <f>Table132[[#This Row],[New position]]*Table132[[#This Row],[Last_Price]]</f>
        <v>5917634.7999999998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56</v>
      </c>
      <c r="B59" s="48" t="s">
        <v>14</v>
      </c>
      <c r="C59" s="50">
        <v>5.21</v>
      </c>
      <c r="D59" s="37">
        <v>1011263</v>
      </c>
      <c r="E59" s="37">
        <v>1135831</v>
      </c>
      <c r="F59" s="36">
        <f>Table132[[#This Row],[New position]]-Table132[[#This Row],[Old position]]</f>
        <v>124568</v>
      </c>
      <c r="G59" s="37">
        <f>ROUND(Table132[[#This Row],[Target allocation ($)]]/(IF(G83&gt;0, G71,E71)*C16)*100,3)</f>
        <v>2.75</v>
      </c>
      <c r="H59" s="43">
        <f>Table132[[#This Row],[New position]]*Table132[[#This Row],[Last_Price]]</f>
        <v>5917679.5099999998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49</v>
      </c>
      <c r="B60" s="48" t="s">
        <v>14</v>
      </c>
      <c r="C60" s="50">
        <v>281.83999999999997</v>
      </c>
      <c r="D60" s="37">
        <v>19459</v>
      </c>
      <c r="E60" s="37">
        <v>20997</v>
      </c>
      <c r="F60" s="36">
        <f>Table132[[#This Row],[New position]]-Table132[[#This Row],[Old position]]</f>
        <v>1538</v>
      </c>
      <c r="G60" s="37">
        <f>ROUND(Table132[[#This Row],[Target allocation ($)]]/(IF(G83&gt;0, G71,E71)*C16)*100,3)</f>
        <v>2.75</v>
      </c>
      <c r="H60" s="43">
        <f>Table132[[#This Row],[New position]]*Table132[[#This Row],[Last_Price]]</f>
        <v>5917794.4799999995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50</v>
      </c>
      <c r="B61" s="48" t="s">
        <v>14</v>
      </c>
      <c r="C61" s="50">
        <v>58.36</v>
      </c>
      <c r="D61" s="37">
        <v>93616</v>
      </c>
      <c r="E61" s="37">
        <v>101400</v>
      </c>
      <c r="F61" s="36">
        <f>Table132[[#This Row],[New position]]-Table132[[#This Row],[Old position]]</f>
        <v>7784</v>
      </c>
      <c r="G61" s="37">
        <f>ROUND(Table132[[#This Row],[Target allocation ($)]]/(IF(G83&gt;0, G71,E71)*C16)*100,3)</f>
        <v>2.75</v>
      </c>
      <c r="H61" s="43">
        <f>Table132[[#This Row],[New position]]*Table132[[#This Row],[Last_Price]]</f>
        <v>5917704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76</v>
      </c>
      <c r="B62" s="48" t="s">
        <v>14</v>
      </c>
      <c r="C62" s="50">
        <v>484.86</v>
      </c>
      <c r="D62" s="37">
        <v>11193</v>
      </c>
      <c r="E62" s="37">
        <v>12205</v>
      </c>
      <c r="F62" s="36">
        <f>Table132[[#This Row],[New position]]-Table132[[#This Row],[Old position]]</f>
        <v>1012</v>
      </c>
      <c r="G62" s="37">
        <f>ROUND(Table132[[#This Row],[Target allocation ($)]]/(IF(G83&gt;0, G71,E71)*C16)*100,3)</f>
        <v>2.75</v>
      </c>
      <c r="H62" s="43">
        <f>Table132[[#This Row],[New position]]*Table132[[#This Row],[Last_Price]]</f>
        <v>5917716.2999999998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77</v>
      </c>
      <c r="B63" s="48" t="s">
        <v>14</v>
      </c>
      <c r="C63" s="50">
        <v>105.9</v>
      </c>
      <c r="D63" s="37">
        <v>50738</v>
      </c>
      <c r="E63" s="37">
        <v>55880</v>
      </c>
      <c r="F63" s="36">
        <f>Table132[[#This Row],[New position]]-Table132[[#This Row],[Old position]]</f>
        <v>5142</v>
      </c>
      <c r="G63" s="37">
        <f>ROUND(Table132[[#This Row],[Target allocation ($)]]/(IF(G83&gt;0, G71,E71)*C16)*100,3)</f>
        <v>2.75</v>
      </c>
      <c r="H63" s="43">
        <f>Table132[[#This Row],[New position]]*Table132[[#This Row],[Last_Price]]</f>
        <v>5917692</v>
      </c>
      <c r="I63" s="59"/>
      <c r="L63" s="54"/>
      <c r="M63"/>
      <c r="N63"/>
      <c r="O63"/>
      <c r="P63"/>
      <c r="Q63"/>
      <c r="R63"/>
    </row>
    <row r="64" spans="1:18" x14ac:dyDescent="0.25">
      <c r="A64" s="48" t="s">
        <v>78</v>
      </c>
      <c r="B64" s="48" t="s">
        <v>14</v>
      </c>
      <c r="C64" s="50">
        <v>36.39</v>
      </c>
      <c r="D64" s="37">
        <v>36000</v>
      </c>
      <c r="E64" s="37">
        <v>36000</v>
      </c>
      <c r="F64" s="36">
        <f>Table132[[#This Row],[New position]]-Table132[[#This Row],[Old position]]</f>
        <v>0</v>
      </c>
      <c r="G64" s="37">
        <f>ROUND(Table132[[#This Row],[Target allocation ($)]]/(IF(G83&gt;0, G71,E71)*C16)*100,3)</f>
        <v>0.60899999999999999</v>
      </c>
      <c r="H64" s="43">
        <f>Table132[[#This Row],[New position]]*Table132[[#This Row],[Last_Price]]</f>
        <v>1310040</v>
      </c>
      <c r="I64" s="59"/>
      <c r="L64" s="54"/>
      <c r="M64"/>
      <c r="N64"/>
      <c r="O64"/>
      <c r="P64"/>
      <c r="Q64"/>
      <c r="R64"/>
    </row>
    <row r="65" spans="1:18" x14ac:dyDescent="0.25">
      <c r="A65" s="48" t="s">
        <v>79</v>
      </c>
      <c r="B65" s="48" t="s">
        <v>14</v>
      </c>
      <c r="C65" s="50">
        <v>129.29</v>
      </c>
      <c r="D65" s="37">
        <v>12200</v>
      </c>
      <c r="E65" s="37">
        <v>12200</v>
      </c>
      <c r="F65" s="36">
        <f>Table132[[#This Row],[New position]]-Table132[[#This Row],[Old position]]</f>
        <v>0</v>
      </c>
      <c r="G65" s="37">
        <f>ROUND(Table132[[#This Row],[Target allocation ($)]]/(IF(G83&gt;0, G71,E71)*C16)*100,3)</f>
        <v>0.73299999999999998</v>
      </c>
      <c r="H65" s="43">
        <f>Table132[[#This Row],[New position]]*Table132[[#This Row],[Last_Price]]</f>
        <v>1577338</v>
      </c>
      <c r="I65" s="59"/>
      <c r="L65" s="54"/>
      <c r="M65"/>
      <c r="N65"/>
      <c r="O65"/>
      <c r="P65"/>
      <c r="Q65"/>
      <c r="R65"/>
    </row>
    <row r="66" spans="1:18" x14ac:dyDescent="0.25">
      <c r="A66" s="48" t="s">
        <v>82</v>
      </c>
      <c r="B66" s="48" t="s">
        <v>14</v>
      </c>
      <c r="C66" s="50">
        <v>189.92</v>
      </c>
      <c r="D66" s="37">
        <v>68583</v>
      </c>
      <c r="E66" s="37">
        <v>79313</v>
      </c>
      <c r="F66" s="36">
        <f>Table132[[#This Row],[New position]]-Table132[[#This Row],[Old position]]</f>
        <v>10730</v>
      </c>
      <c r="G66" s="37">
        <f>ROUND(Table132[[#This Row],[Target allocation ($)]]/(IF(G83&gt;0, G71,E71)*C16)*100,3)</f>
        <v>7</v>
      </c>
      <c r="H66" s="43">
        <f>Table132[[#This Row],[New position]]*Table132[[#This Row],[Last_Price]]</f>
        <v>15063124.959999999</v>
      </c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59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59</v>
      </c>
      <c r="B70" s="48"/>
      <c r="C70" s="49"/>
      <c r="D70" s="38"/>
      <c r="E70" s="60" t="s">
        <v>57</v>
      </c>
      <c r="F70" s="34"/>
      <c r="G70" s="61" t="s">
        <v>58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32</v>
      </c>
      <c r="B71" s="48"/>
      <c r="C71" s="49"/>
      <c r="D71" s="38"/>
      <c r="E71" s="37">
        <f xml:space="preserve"> IF(G83&gt;0, (C17+ABS(G83*G71))/C13, C17/C13)</f>
        <v>5.824433</v>
      </c>
      <c r="F71" s="34"/>
      <c r="G71" s="37">
        <v>5.824433</v>
      </c>
      <c r="H71" s="50"/>
      <c r="I71" s="52"/>
      <c r="L71"/>
      <c r="M71"/>
      <c r="N71"/>
      <c r="O71"/>
      <c r="P71"/>
      <c r="Q71"/>
      <c r="R71"/>
    </row>
    <row r="72" spans="1:18" ht="15" customHeight="1" x14ac:dyDescent="0.25">
      <c r="A72" s="37" t="s">
        <v>43</v>
      </c>
      <c r="B72" s="37"/>
      <c r="C72" s="37"/>
      <c r="D72" s="51" t="str">
        <f>Table132[[#This Row],[Symbol]]</f>
        <v>SingleStocks</v>
      </c>
      <c r="E72" s="37">
        <f>ROUND(SUM(G20:G40)/100, 3)</f>
        <v>5.1999999999999998E-2</v>
      </c>
      <c r="F72" s="51" t="str">
        <f>Table132[[#This Row],[Symbol]]</f>
        <v>SingleStocks</v>
      </c>
      <c r="G72" s="37">
        <f>SUM(H20:H40)/(G71*C16)</f>
        <v>5.1736085925650682E-2</v>
      </c>
      <c r="H72" s="37"/>
      <c r="I72" s="30"/>
      <c r="L72"/>
      <c r="M72"/>
      <c r="N72"/>
      <c r="O72"/>
      <c r="P72"/>
      <c r="Q72"/>
      <c r="R72"/>
    </row>
    <row r="73" spans="1:18" ht="15.75" customHeight="1" x14ac:dyDescent="0.25">
      <c r="A73" s="48" t="s">
        <v>88</v>
      </c>
      <c r="B73" s="48"/>
      <c r="C73" s="49"/>
      <c r="D73" s="38"/>
      <c r="E73" s="57">
        <f>ROUND(SUM(G41)/100, 3)</f>
        <v>7.0000000000000001E-3</v>
      </c>
      <c r="F73" s="51" t="str">
        <f>Table132[[#This Row],[Symbol]]</f>
        <v>Russel</v>
      </c>
      <c r="G73" s="37">
        <f>SUM(H41)/(G71*C16)</f>
        <v>7.0001807174374583E-3</v>
      </c>
      <c r="H73" s="50"/>
      <c r="I73" s="58"/>
      <c r="L73"/>
      <c r="M73"/>
      <c r="N73"/>
      <c r="O73"/>
      <c r="P73"/>
      <c r="Q73"/>
      <c r="R73"/>
    </row>
    <row r="74" spans="1:18" ht="15.75" customHeight="1" x14ac:dyDescent="0.25">
      <c r="A74" s="48" t="s">
        <v>86</v>
      </c>
      <c r="B74" s="48"/>
      <c r="C74" s="49"/>
      <c r="D74" s="38"/>
      <c r="E74" s="37">
        <f>ROUND(SUM(G42:G43)/100, 3)</f>
        <v>7.6999999999999999E-2</v>
      </c>
      <c r="F74" s="51" t="str">
        <f>Table132[[#This Row],[Symbol]]</f>
        <v>S&amp;P</v>
      </c>
      <c r="G74" s="37">
        <f>SUM(H42:H43)/(G71*C16)</f>
        <v>7.6999871605710299E-2</v>
      </c>
      <c r="H74" s="50"/>
      <c r="I74" s="58"/>
      <c r="L74"/>
      <c r="M74"/>
      <c r="N74"/>
      <c r="O74"/>
      <c r="P74"/>
      <c r="Q74"/>
      <c r="R74"/>
    </row>
    <row r="75" spans="1:18" ht="15.75" customHeight="1" x14ac:dyDescent="0.25">
      <c r="A75" s="68" t="s">
        <v>87</v>
      </c>
      <c r="B75" s="68"/>
      <c r="C75" s="69"/>
      <c r="D75" s="38"/>
      <c r="E75" s="37">
        <f>ROUND(SUM(G44)/100, 3)</f>
        <v>0.01</v>
      </c>
      <c r="F75" s="51" t="str">
        <f>Table132[[#This Row],[Symbol]]</f>
        <v>Dow Jones</v>
      </c>
      <c r="G75" s="37">
        <f>SUM(H44)/(G71*C16)</f>
        <v>9.9998986022748482E-3</v>
      </c>
      <c r="H75" s="50"/>
      <c r="I75" s="58"/>
      <c r="L75"/>
      <c r="M75"/>
      <c r="N75"/>
      <c r="O75"/>
      <c r="P75"/>
      <c r="Q75"/>
      <c r="R75"/>
    </row>
    <row r="76" spans="1:18" ht="14.25" customHeight="1" x14ac:dyDescent="0.25">
      <c r="A76" s="48" t="s">
        <v>51</v>
      </c>
      <c r="B76" s="48"/>
      <c r="C76" s="49"/>
      <c r="D76" s="38"/>
      <c r="E76" s="37">
        <f>ROUND(SUM(G45:G48)/100, 3)</f>
        <v>6.0000000000000001E-3</v>
      </c>
      <c r="F76" s="51" t="str">
        <f>Table132[[#This Row],[Symbol]]</f>
        <v>International Stocks</v>
      </c>
      <c r="G76" s="37">
        <f>SUM(H45:H48)/(G71*C16)</f>
        <v>5.5031319503940261E-3</v>
      </c>
      <c r="H76" s="50"/>
      <c r="I76" s="58"/>
      <c r="L76"/>
      <c r="M76"/>
      <c r="N76"/>
      <c r="O76"/>
      <c r="P76"/>
      <c r="Q76"/>
      <c r="R76"/>
    </row>
    <row r="77" spans="1:18" ht="15.75" customHeight="1" x14ac:dyDescent="0.25">
      <c r="A77" s="48" t="s">
        <v>11</v>
      </c>
      <c r="B77" s="48"/>
      <c r="C77" s="49"/>
      <c r="D77" s="51" t="str">
        <f>Table132[[#This Row],[Symbol]]</f>
        <v>QQQ</v>
      </c>
      <c r="E77" s="57">
        <f>ROUND(SUM(G49)/100, 3)</f>
        <v>0.23</v>
      </c>
      <c r="F77" s="51" t="str">
        <f>Table132[[#This Row],[Symbol]]</f>
        <v>QQQ</v>
      </c>
      <c r="G77" s="57">
        <f>SUM(H49)/(G71*C16)</f>
        <v>0.23000065249420049</v>
      </c>
      <c r="H77" s="50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8"/>
      <c r="C78" s="49"/>
      <c r="D78" s="51" t="str">
        <f>Table132[[#This Row],[Symbol]]</f>
        <v>Bonds</v>
      </c>
      <c r="E78" s="57">
        <f>ROUND(SUM(G54:G63)/100, 3)</f>
        <v>0.23300000000000001</v>
      </c>
      <c r="F78" s="51" t="str">
        <f>Table132[[#This Row],[Symbol]]</f>
        <v>Bonds</v>
      </c>
      <c r="G78" s="37">
        <f>SUM(H54:H63)/(G71*C16)</f>
        <v>0.23252336553292441</v>
      </c>
      <c r="H78" s="50"/>
      <c r="I78" s="30"/>
      <c r="L78"/>
      <c r="M78"/>
      <c r="N78"/>
      <c r="O78"/>
      <c r="P78"/>
      <c r="Q78"/>
      <c r="R78"/>
    </row>
    <row r="79" spans="1:18" ht="14.25" customHeight="1" x14ac:dyDescent="0.25">
      <c r="A79" s="48" t="s">
        <v>45</v>
      </c>
      <c r="B79" s="37"/>
      <c r="C79" s="37"/>
      <c r="D79" s="51" t="str">
        <f>Table132[[#This Row],[Symbol]]</f>
        <v>Gold</v>
      </c>
      <c r="E79" s="37">
        <f>ROUND(SUM(G66)/100,3)</f>
        <v>7.0000000000000007E-2</v>
      </c>
      <c r="F79" s="51" t="str">
        <f>Table132[[#This Row],[Symbol]]</f>
        <v>Gold</v>
      </c>
      <c r="G79" s="37">
        <f>SUM(H66)/(G71*C16)</f>
        <v>6.9999740890992326E-2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1" t="str">
        <f>Table132[[#This Row],[Symbol]]</f>
        <v>Commodities</v>
      </c>
      <c r="E80" s="37">
        <f>ROUND(SUM(G50:G53)/100,3)</f>
        <v>0.02</v>
      </c>
      <c r="F80" s="51" t="str">
        <f>Table132[[#This Row],[Symbol]]</f>
        <v>Commodities</v>
      </c>
      <c r="G80" s="37">
        <f>SUM(H50:H53)/(G71*C16)</f>
        <v>2.0008382243953231E-2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8" t="s">
        <v>44</v>
      </c>
      <c r="B81" s="48"/>
      <c r="C81" s="49"/>
      <c r="D81" s="51" t="str">
        <f>Table132[[#This Row],[Symbol]]</f>
        <v>Crypto</v>
      </c>
      <c r="E81" s="57">
        <f>ROUND(SUM(G64:G65)/100,3)</f>
        <v>1.2999999999999999E-2</v>
      </c>
      <c r="F81" s="51" t="str">
        <f>Table132[[#This Row],[Symbol]]</f>
        <v>Crypto</v>
      </c>
      <c r="G81" s="57">
        <f>SUM(H64:H65)/(G71*C16)</f>
        <v>1.3417913772279536E-2</v>
      </c>
      <c r="H81" s="50"/>
      <c r="I81" s="56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1" t="str">
        <f>Table132[[#This Row],[Symbol]]</f>
        <v>Cash</v>
      </c>
      <c r="E82" s="37">
        <f>1-SUM(E72:E81)</f>
        <v>0.28199999999999992</v>
      </c>
      <c r="F82" s="51" t="str">
        <f>Table132[[#This Row],[Symbol]]</f>
        <v>Cash</v>
      </c>
      <c r="G82" s="37">
        <f>1-SUM(G72:G81)</f>
        <v>0.28281077626418272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C16*E82</f>
        <v>10418713.625999996</v>
      </c>
      <c r="F83" s="34"/>
      <c r="G83" s="37">
        <f>C16*G82</f>
        <v>10448668.398025809</v>
      </c>
      <c r="H83" s="43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3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3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4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4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5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2023-12-01T10:29:49Z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