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1941" documentId="14_{A48F4B07-3EF3-43E5-91B2-4CA340E6013A}" xr6:coauthVersionLast="47" xr6:coauthVersionMax="47" xr10:uidLastSave="{C4167485-9795-452A-A3F5-4C78A49AD220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3" l="1"/>
  <c r="H20" i="3"/>
  <c r="F21" i="3"/>
  <c r="H21" i="3"/>
  <c r="F22" i="3"/>
  <c r="H22" i="3"/>
  <c r="F23" i="3"/>
  <c r="H23" i="3"/>
  <c r="F24" i="3"/>
  <c r="H24" i="3"/>
  <c r="H64" i="3" l="1"/>
  <c r="F64" i="3"/>
  <c r="F70" i="3" l="1"/>
  <c r="F71" i="3"/>
  <c r="F72" i="3"/>
  <c r="F73" i="3"/>
  <c r="F74" i="3"/>
  <c r="F75" i="3"/>
  <c r="F76" i="3"/>
  <c r="F77" i="3"/>
  <c r="F78" i="3"/>
  <c r="F79" i="3"/>
  <c r="F69" i="3"/>
  <c r="H63" i="3"/>
  <c r="F63" i="3"/>
  <c r="H44" i="3" l="1"/>
  <c r="H62" i="3"/>
  <c r="F62" i="3" l="1"/>
  <c r="F31" i="3" l="1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1" i="3"/>
  <c r="H38" i="3" l="1"/>
  <c r="H39" i="3"/>
  <c r="H32" i="3"/>
  <c r="H37" i="3"/>
  <c r="D79" i="3"/>
  <c r="D78" i="3"/>
  <c r="D77" i="3"/>
  <c r="D76" i="3"/>
  <c r="D75" i="3"/>
  <c r="D74" i="3"/>
  <c r="D69" i="3"/>
  <c r="H33" i="3" l="1"/>
  <c r="H30" i="3" l="1"/>
  <c r="H29" i="3"/>
  <c r="H28" i="3"/>
  <c r="H36" i="3"/>
  <c r="H25" i="3" l="1"/>
  <c r="H26" i="3"/>
  <c r="H27" i="3"/>
  <c r="C17" i="3" l="1" a="1"/>
  <c r="C17" i="3" s="1"/>
  <c r="F30" i="3"/>
  <c r="F28" i="3"/>
  <c r="F33" i="3"/>
  <c r="F25" i="3" l="1"/>
  <c r="F26" i="3"/>
  <c r="F27" i="3"/>
  <c r="F29" i="3"/>
  <c r="F32" i="3"/>
  <c r="C16" i="3"/>
  <c r="C11" i="3" l="1"/>
  <c r="C6" i="3"/>
  <c r="C12" i="3"/>
  <c r="C8" i="3"/>
  <c r="C5" i="3"/>
  <c r="C9" i="3"/>
  <c r="C10" i="3"/>
  <c r="C7" i="3"/>
  <c r="C4" i="3"/>
  <c r="C3" i="3"/>
  <c r="G76" i="3"/>
  <c r="G73" i="3"/>
  <c r="G78" i="3"/>
  <c r="G74" i="3"/>
  <c r="G75" i="3"/>
  <c r="G77" i="3"/>
  <c r="G72" i="3"/>
  <c r="G71" i="3"/>
  <c r="G70" i="3"/>
  <c r="G69" i="3"/>
  <c r="C2" i="3"/>
  <c r="G79" i="3" l="1"/>
  <c r="G80" i="3" s="1"/>
  <c r="G23" i="3" l="1"/>
  <c r="G21" i="3"/>
  <c r="G22" i="3"/>
  <c r="G24" i="3"/>
  <c r="G20" i="3"/>
  <c r="E68" i="3"/>
  <c r="G48" i="3" s="1"/>
  <c r="G63" i="3" l="1"/>
  <c r="G64" i="3"/>
  <c r="E76" i="3" s="1"/>
  <c r="G61" i="3"/>
  <c r="G49" i="3"/>
  <c r="E74" i="3" s="1"/>
  <c r="G50" i="3"/>
  <c r="G40" i="3"/>
  <c r="G62" i="3"/>
  <c r="G57" i="3"/>
  <c r="G53" i="3"/>
  <c r="G58" i="3"/>
  <c r="G41" i="3"/>
  <c r="G56" i="3"/>
  <c r="G42" i="3"/>
  <c r="G43" i="3"/>
  <c r="G34" i="3"/>
  <c r="G39" i="3"/>
  <c r="G47" i="3"/>
  <c r="G31" i="3"/>
  <c r="G45" i="3"/>
  <c r="G51" i="3"/>
  <c r="G52" i="3"/>
  <c r="G59" i="3"/>
  <c r="G44" i="3"/>
  <c r="E72" i="3" s="1"/>
  <c r="G60" i="3"/>
  <c r="G35" i="3"/>
  <c r="G46" i="3"/>
  <c r="G30" i="3"/>
  <c r="G55" i="3"/>
  <c r="G54" i="3"/>
  <c r="G25" i="3"/>
  <c r="G26" i="3"/>
  <c r="G27" i="3"/>
  <c r="G33" i="3"/>
  <c r="G37" i="3"/>
  <c r="G36" i="3"/>
  <c r="G28" i="3"/>
  <c r="G32" i="3"/>
  <c r="G38" i="3"/>
  <c r="G29" i="3"/>
  <c r="E78" i="3" l="1"/>
  <c r="E77" i="3"/>
  <c r="E69" i="3"/>
  <c r="E71" i="3"/>
  <c r="E75" i="3"/>
  <c r="E70" i="3"/>
  <c r="E73" i="3"/>
  <c r="E79" i="3" l="1"/>
  <c r="E80" i="3" s="1"/>
</calcChain>
</file>

<file path=xl/sharedStrings.xml><?xml version="1.0" encoding="utf-8"?>
<sst xmlns="http://schemas.openxmlformats.org/spreadsheetml/2006/main" count="135" uniqueCount="89">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</sst>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Sheet1!$D$69:$D$79</c:f>
              <c:strCache>
                <c:ptCount val="11"/>
                <c:pt idx="0">
                  <c:v>SingleStocks</c:v>
                </c:pt>
                <c:pt idx="5">
                  <c:v>QQQ</c:v>
                </c:pt>
                <c:pt idx="6">
                  <c:v>Bonds</c:v>
                </c:pt>
                <c:pt idx="7">
                  <c:v>Gold</c:v>
                </c:pt>
                <c:pt idx="8">
                  <c:v>Commodities</c:v>
                </c:pt>
                <c:pt idx="9">
                  <c:v>Crypto</c:v>
                </c:pt>
                <c:pt idx="10">
                  <c:v>Cash</c:v>
                </c:pt>
              </c:strCache>
            </c:strRef>
          </c:cat>
          <c:val>
            <c:numRef>
              <c:f>Sheet1!$E$69:$E$79</c:f>
              <c:numCache>
                <c:formatCode>General</c:formatCode>
                <c:ptCount val="11"/>
                <c:pt idx="0">
                  <c:v>0.05</c:v>
                </c:pt>
                <c:pt idx="1">
                  <c:v>2.1999999999999999E-2</c:v>
                </c:pt>
                <c:pt idx="2">
                  <c:v>0.09</c:v>
                </c:pt>
                <c:pt idx="3">
                  <c:v>2.5000000000000001E-2</c:v>
                </c:pt>
                <c:pt idx="4">
                  <c:v>5.0000000000000001E-3</c:v>
                </c:pt>
                <c:pt idx="5">
                  <c:v>0.27</c:v>
                </c:pt>
                <c:pt idx="6">
                  <c:v>0.26900000000000002</c:v>
                </c:pt>
                <c:pt idx="7">
                  <c:v>8.2000000000000003E-2</c:v>
                </c:pt>
                <c:pt idx="8">
                  <c:v>1.2999999999999999E-2</c:v>
                </c:pt>
                <c:pt idx="9">
                  <c:v>1.4999999999999999E-2</c:v>
                </c:pt>
                <c:pt idx="10">
                  <c:v>0.15899999999999992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3" totalsRowShown="0" headerRowDxfId="13" dataDxfId="11" headerRowBorderDxfId="12" tableBorderDxfId="10" totalsRowBorderDxfId="9">
  <autoFilter ref="A19:I83" xr:uid="{00000000-0009-0000-0100-000001000000}"/>
  <sortState xmlns:xlrd2="http://schemas.microsoft.com/office/spreadsheetml/2017/richdata2" ref="A20:I82">
    <sortCondition ref="A19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topLeftCell="A37" zoomScale="115" zoomScaleNormal="115" workbookViewId="0">
      <selection activeCell="I57" sqref="I5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3" t="s">
        <v>0</v>
      </c>
      <c r="B1" s="63"/>
      <c r="C1" s="12">
        <v>45266</v>
      </c>
      <c r="E1" s="14"/>
      <c r="F1" s="14"/>
      <c r="G1" s="46"/>
      <c r="H1" s="14"/>
    </row>
    <row r="2" spans="1:8" s="13" customFormat="1" x14ac:dyDescent="0.25">
      <c r="A2" s="63" t="s">
        <v>10</v>
      </c>
      <c r="B2" s="63"/>
      <c r="C2" s="15">
        <f>C17/C16</f>
        <v>4.6299551597568929</v>
      </c>
      <c r="D2"/>
      <c r="E2" s="24"/>
      <c r="F2" s="17"/>
      <c r="G2" s="17"/>
      <c r="H2" s="16"/>
    </row>
    <row r="3" spans="1:8" s="13" customFormat="1" x14ac:dyDescent="0.25">
      <c r="A3" s="65" t="s">
        <v>45</v>
      </c>
      <c r="B3" s="66"/>
      <c r="C3" s="15">
        <f>SUM(H20:H39)/C16</f>
        <v>0.27707760506896006</v>
      </c>
      <c r="D3"/>
      <c r="E3" s="24"/>
      <c r="F3" s="17"/>
      <c r="G3" s="17"/>
      <c r="H3" s="16"/>
    </row>
    <row r="4" spans="1:8" s="13" customFormat="1" x14ac:dyDescent="0.25">
      <c r="A4" s="65" t="s">
        <v>86</v>
      </c>
      <c r="B4" s="66"/>
      <c r="C4" s="15">
        <f>SUM(H40:H41)/C16</f>
        <v>0.12279823665957247</v>
      </c>
      <c r="D4"/>
      <c r="E4" s="24"/>
      <c r="F4" s="17"/>
      <c r="G4" s="17"/>
      <c r="H4" s="16"/>
    </row>
    <row r="5" spans="1:8" s="13" customFormat="1" x14ac:dyDescent="0.25">
      <c r="A5" s="61" t="s">
        <v>81</v>
      </c>
      <c r="B5" s="62"/>
      <c r="C5" s="15">
        <f>SUM(H42:H43)/C16</f>
        <v>0.49431405773274761</v>
      </c>
      <c r="D5"/>
      <c r="E5" s="24"/>
      <c r="F5" s="17"/>
      <c r="G5" s="17"/>
      <c r="H5" s="16"/>
    </row>
    <row r="6" spans="1:8" s="13" customFormat="1" x14ac:dyDescent="0.25">
      <c r="A6" s="61" t="s">
        <v>87</v>
      </c>
      <c r="B6" s="62"/>
      <c r="C6" s="15">
        <f>SUM(H44)/C16</f>
        <v>0.13749950192032886</v>
      </c>
      <c r="D6"/>
      <c r="E6" s="24"/>
      <c r="F6" s="17"/>
      <c r="G6" s="17"/>
      <c r="H6" s="16"/>
    </row>
    <row r="7" spans="1:8" s="13" customFormat="1" x14ac:dyDescent="0.25">
      <c r="A7" s="65" t="s">
        <v>50</v>
      </c>
      <c r="B7" s="66"/>
      <c r="C7" s="15">
        <f>SUM(H45:H48)/C16</f>
        <v>3.0064426033704475E-2</v>
      </c>
      <c r="D7"/>
      <c r="E7" s="24"/>
      <c r="F7" s="17"/>
      <c r="G7" s="17"/>
      <c r="H7" s="16"/>
    </row>
    <row r="8" spans="1:8" s="13" customFormat="1" x14ac:dyDescent="0.25">
      <c r="A8" s="65" t="s">
        <v>30</v>
      </c>
      <c r="B8" s="66"/>
      <c r="C8" s="15">
        <f>H49/C16</f>
        <v>1.4850037632106003</v>
      </c>
      <c r="D8"/>
      <c r="E8" s="24"/>
      <c r="F8" s="17"/>
      <c r="G8" s="17"/>
      <c r="H8" s="16"/>
    </row>
    <row r="9" spans="1:8" s="13" customFormat="1" x14ac:dyDescent="0.25">
      <c r="A9" s="65" t="s">
        <v>25</v>
      </c>
      <c r="B9" s="66"/>
      <c r="C9" s="15">
        <f>SUM(H52:H61)/C16</f>
        <v>1.4817070664332008</v>
      </c>
      <c r="D9"/>
      <c r="E9" s="24"/>
      <c r="F9" s="17"/>
      <c r="G9" s="17"/>
      <c r="H9" s="16"/>
    </row>
    <row r="10" spans="1:8" s="13" customFormat="1" x14ac:dyDescent="0.25">
      <c r="A10" s="65" t="s">
        <v>26</v>
      </c>
      <c r="B10" s="66"/>
      <c r="C10" s="15">
        <f>SUM(H50:H51)/C16</f>
        <v>6.9204167648682202E-2</v>
      </c>
      <c r="D10"/>
      <c r="E10" s="24"/>
      <c r="F10" s="17"/>
      <c r="G10" s="17"/>
      <c r="H10" s="16"/>
    </row>
    <row r="11" spans="1:8" s="13" customFormat="1" x14ac:dyDescent="0.25">
      <c r="A11" s="65" t="s">
        <v>46</v>
      </c>
      <c r="B11" s="66"/>
      <c r="C11" s="15">
        <f>SUM(H64)/C16</f>
        <v>0.44950014082011358</v>
      </c>
      <c r="D11"/>
      <c r="E11" s="24"/>
      <c r="F11" s="17"/>
      <c r="G11" s="17"/>
      <c r="H11" s="16"/>
    </row>
    <row r="12" spans="1:8" s="13" customFormat="1" ht="27.75" customHeight="1" x14ac:dyDescent="0.25">
      <c r="A12" s="64" t="s">
        <v>44</v>
      </c>
      <c r="B12" s="64"/>
      <c r="C12" s="15">
        <f>SUM(H62:H63)/C16</f>
        <v>8.2786194228981286E-2</v>
      </c>
      <c r="D12" s="23"/>
      <c r="E12" s="16"/>
      <c r="F12" s="17"/>
      <c r="G12" s="17"/>
      <c r="H12" s="16"/>
    </row>
    <row r="13" spans="1:8" s="13" customFormat="1" ht="12.75" x14ac:dyDescent="0.25">
      <c r="A13" s="63" t="s">
        <v>8</v>
      </c>
      <c r="B13" s="63"/>
      <c r="C13" s="18">
        <v>38297086</v>
      </c>
      <c r="D13" s="25"/>
      <c r="E13" s="17"/>
      <c r="F13" s="17"/>
      <c r="G13" s="17"/>
      <c r="H13" s="16"/>
    </row>
    <row r="14" spans="1:8" s="13" customFormat="1" ht="12.75" x14ac:dyDescent="0.25">
      <c r="A14" s="63" t="s">
        <v>6</v>
      </c>
      <c r="B14" s="63"/>
      <c r="C14" s="18">
        <v>0</v>
      </c>
      <c r="F14" s="17"/>
      <c r="H14" s="39"/>
    </row>
    <row r="15" spans="1:8" s="13" customFormat="1" ht="12.75" x14ac:dyDescent="0.25">
      <c r="A15" s="63" t="s">
        <v>7</v>
      </c>
      <c r="B15" s="63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3" t="s">
        <v>9</v>
      </c>
      <c r="B16" s="63"/>
      <c r="C16" s="18">
        <f>C13+C14-C15</f>
        <v>38297086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4" t="s">
        <v>5</v>
      </c>
      <c r="B17" s="64"/>
      <c r="C17" s="11">
        <f t="array" ref="C17">SUM(ABS(Table132[Target allocation ($)]))</f>
        <v>177313790.92935348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0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1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49">
        <v>41.8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($)]]/(IF(G80&gt;0, G68,E68)*C16)*100,3)</f>
        <v>0.252</v>
      </c>
      <c r="H20" s="42">
        <f>Table132[[#This Row],[New position]]*Table132[[#This Row],[Last_Price]]</f>
        <v>531069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49">
        <v>203.73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($)]]/(IF(G80&gt;0, G68,E68)*C16)*100,3)</f>
        <v>0.26500000000000001</v>
      </c>
      <c r="H21" s="42">
        <f>Table132[[#This Row],[New position]]*Table132[[#This Row],[Last_Price]]</f>
        <v>558831.39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35</v>
      </c>
      <c r="B22" s="37" t="s">
        <v>14</v>
      </c>
      <c r="C22" s="49">
        <v>52.75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($)]]/(IF(G80&gt;0, G68,E68)*C16)*100,3)</f>
        <v>0.26800000000000002</v>
      </c>
      <c r="H22" s="42">
        <f>Table132[[#This Row],[New position]]*Table132[[#This Row],[Last_Price]]</f>
        <v>563950.25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49">
        <v>138.68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($)]]/(IF(G80&gt;0, G68,E68)*C16)*100,3)</f>
        <v>0.26200000000000001</v>
      </c>
      <c r="H23" s="42">
        <f>Table132[[#This Row],[New position]]*Table132[[#This Row],[Last_Price]]</f>
        <v>552778.48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49">
        <v>215.83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($)]]/(IF(G80&gt;0, G68,E68)*C16)*100,3)</f>
        <v>0.26</v>
      </c>
      <c r="H24" s="42">
        <f>Table132[[#This Row],[New position]]*Table132[[#This Row],[Last_Price]]</f>
        <v>547560.71000000008</v>
      </c>
      <c r="I24" s="52"/>
      <c r="M24"/>
      <c r="N24"/>
      <c r="O24"/>
      <c r="P24"/>
      <c r="Q24"/>
      <c r="R24"/>
    </row>
    <row r="25" spans="1:18" x14ac:dyDescent="0.25">
      <c r="A25" s="37" t="s">
        <v>38</v>
      </c>
      <c r="B25" s="37" t="s">
        <v>14</v>
      </c>
      <c r="C25" s="49">
        <v>2226.25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($)]]/(IF(G80&gt;0, G68,E68)*C16)*100,3)</f>
        <v>0.26</v>
      </c>
      <c r="H25" s="42">
        <f>Table132[[#This Row],[New position]]*Table132[[#This Row],[Last_Price]]</f>
        <v>547657.5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159.5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($)]]/(IF(G80&gt;0, G68,E68)*C16)*100,3)</f>
        <v>0.253</v>
      </c>
      <c r="H26" s="42">
        <f>Table132[[#This Row],[New position]]*Table132[[#This Row],[Last_Price]]</f>
        <v>531932.5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61</v>
      </c>
      <c r="B27" s="37" t="s">
        <v>14</v>
      </c>
      <c r="C27" s="49">
        <v>193.45</v>
      </c>
      <c r="D27" s="37">
        <v>2839</v>
      </c>
      <c r="E27" s="37">
        <v>2839</v>
      </c>
      <c r="F27" s="36">
        <f>Table132[[#This Row],[New position]]-Table132[[#This Row],[Old position]]</f>
        <v>0</v>
      </c>
      <c r="G27" s="37">
        <f>ROUND(Table132[[#This Row],[Target allocation ($)]]/(IF(G80&gt;0, G68,E68)*C16)*100,3)</f>
        <v>0.26100000000000001</v>
      </c>
      <c r="H27" s="42">
        <f>Table132[[#This Row],[New position]]*Table132[[#This Row],[Last_Price]]</f>
        <v>549204.54999999993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62</v>
      </c>
      <c r="B28" s="37" t="s">
        <v>14</v>
      </c>
      <c r="C28" s="49">
        <v>372.8</v>
      </c>
      <c r="D28" s="37">
        <v>1436</v>
      </c>
      <c r="E28" s="37">
        <v>1436</v>
      </c>
      <c r="F28" s="36">
        <f>Table132[[#This Row],[New position]]-Table132[[#This Row],[Old position]]</f>
        <v>0</v>
      </c>
      <c r="G28" s="37">
        <f>ROUND(Table132[[#This Row],[Target allocation ($)]]/(IF(G80&gt;0, G68,E68)*C16)*100,3)</f>
        <v>0.254</v>
      </c>
      <c r="H28" s="42">
        <f>Table132[[#This Row],[New position]]*Table132[[#This Row],[Last_Price]]</f>
        <v>535340.80000000005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63</v>
      </c>
      <c r="B29" s="37" t="s">
        <v>14</v>
      </c>
      <c r="C29" s="49">
        <v>131.05000000000001</v>
      </c>
      <c r="D29" s="37">
        <v>3945</v>
      </c>
      <c r="E29" s="37">
        <v>3945</v>
      </c>
      <c r="F29" s="36">
        <f>Table132[[#This Row],[New position]]-Table132[[#This Row],[Old position]]</f>
        <v>0</v>
      </c>
      <c r="G29" s="37">
        <f>ROUND(Table132[[#This Row],[Target allocation ($)]]/(IF(G80&gt;0, G68,E68)*C16)*100,3)</f>
        <v>0.245</v>
      </c>
      <c r="H29" s="42">
        <f>Table132[[#This Row],[New position]]*Table132[[#This Row],[Last_Price]]</f>
        <v>516992.25000000006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64</v>
      </c>
      <c r="B30" s="37" t="s">
        <v>14</v>
      </c>
      <c r="C30" s="49">
        <v>37.299999999999997</v>
      </c>
      <c r="D30" s="37">
        <v>15018</v>
      </c>
      <c r="E30" s="37">
        <v>15018</v>
      </c>
      <c r="F30" s="36">
        <f>Table132[[#This Row],[New position]]-Table132[[#This Row],[Old position]]</f>
        <v>0</v>
      </c>
      <c r="G30" s="37">
        <f>ROUND(Table132[[#This Row],[Target allocation ($)]]/(IF(G80&gt;0, G68,E68)*C16)*100,3)</f>
        <v>0.26600000000000001</v>
      </c>
      <c r="H30" s="42">
        <f>Table132[[#This Row],[New position]]*Table132[[#This Row],[Last_Price]]</f>
        <v>560171.39999999991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65</v>
      </c>
      <c r="B31" s="37" t="s">
        <v>14</v>
      </c>
      <c r="C31" s="49">
        <v>589.51</v>
      </c>
      <c r="D31" s="37">
        <v>914</v>
      </c>
      <c r="E31" s="37">
        <v>914</v>
      </c>
      <c r="F31" s="36">
        <f>Table132[[#This Row],[New position]]-Table132[[#This Row],[Old position]]</f>
        <v>0</v>
      </c>
      <c r="G31" s="37">
        <f>ROUND(Table132[[#This Row],[Target allocation ($)]]/(IF(G80&gt;0, G68,E68)*C16)*100,3)</f>
        <v>0.25600000000000001</v>
      </c>
      <c r="H31" s="42">
        <f>Table132[[#This Row],[New position]]*Table132[[#This Row],[Last_Price]]</f>
        <v>538812.14</v>
      </c>
      <c r="I31" s="57"/>
      <c r="L31"/>
      <c r="M31"/>
      <c r="N31"/>
      <c r="O31"/>
      <c r="P31"/>
      <c r="Q31"/>
      <c r="R31"/>
    </row>
    <row r="32" spans="1:18" x14ac:dyDescent="0.25">
      <c r="A32" s="37" t="s">
        <v>66</v>
      </c>
      <c r="B32" s="37" t="s">
        <v>14</v>
      </c>
      <c r="C32" s="49">
        <v>118.31</v>
      </c>
      <c r="D32" s="37">
        <v>4440</v>
      </c>
      <c r="E32" s="37">
        <v>4440</v>
      </c>
      <c r="F32" s="36">
        <f>Table132[[#This Row],[New position]]-Table132[[#This Row],[Old position]]</f>
        <v>0</v>
      </c>
      <c r="G32" s="37">
        <f>ROUND(Table132[[#This Row],[Target allocation ($)]]/(IF(G80&gt;0, G68,E68)*C16)*100,3)</f>
        <v>0.249</v>
      </c>
      <c r="H32" s="42">
        <f>Table132[[#This Row],[New position]]*Table132[[#This Row],[Last_Price]]</f>
        <v>525296.4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67</v>
      </c>
      <c r="B33" s="37" t="s">
        <v>14</v>
      </c>
      <c r="C33" s="49">
        <v>120.45</v>
      </c>
      <c r="D33" s="37">
        <v>4511</v>
      </c>
      <c r="E33" s="37">
        <v>4511</v>
      </c>
      <c r="F33" s="36">
        <f>Table132[[#This Row],[New position]]-Table132[[#This Row],[Old position]]</f>
        <v>0</v>
      </c>
      <c r="G33" s="37">
        <f>ROUND(Table132[[#This Row],[Target allocation ($)]]/(IF(G80&gt;0, G68,E68)*C16)*100,3)</f>
        <v>0.25800000000000001</v>
      </c>
      <c r="H33" s="42">
        <f>Table132[[#This Row],[New position]]*Table132[[#This Row],[Last_Price]]</f>
        <v>543349.95000000007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68</v>
      </c>
      <c r="B34" s="37" t="s">
        <v>14</v>
      </c>
      <c r="C34" s="49">
        <v>694.89</v>
      </c>
      <c r="D34" s="37">
        <v>792</v>
      </c>
      <c r="E34" s="37">
        <v>792</v>
      </c>
      <c r="F34" s="36">
        <f>Table132[[#This Row],[New position]]-Table132[[#This Row],[Old position]]</f>
        <v>0</v>
      </c>
      <c r="G34" s="37">
        <f>ROUND(Table132[[#This Row],[Target allocation ($)]]/(IF(G80&gt;0, G68,E68)*C16)*100,3)</f>
        <v>0.26100000000000001</v>
      </c>
      <c r="H34" s="42">
        <f>Table132[[#This Row],[New position]]*Table132[[#This Row],[Last_Price]]</f>
        <v>550352.88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69</v>
      </c>
      <c r="B35" s="37" t="s">
        <v>14</v>
      </c>
      <c r="C35" s="49">
        <v>341.54</v>
      </c>
      <c r="D35" s="37">
        <v>1531</v>
      </c>
      <c r="E35" s="37">
        <v>1531</v>
      </c>
      <c r="F35" s="36">
        <f>Table132[[#This Row],[New position]]-Table132[[#This Row],[Old position]]</f>
        <v>0</v>
      </c>
      <c r="G35" s="37">
        <f>ROUND(Table132[[#This Row],[Target allocation ($)]]/(IF(G80&gt;0, G68,E68)*C16)*100,3)</f>
        <v>0.248</v>
      </c>
      <c r="H35" s="42">
        <f>Table132[[#This Row],[New position]]*Table132[[#This Row],[Last_Price]]</f>
        <v>522897.74000000005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324.88</v>
      </c>
      <c r="D36" s="37">
        <v>1754</v>
      </c>
      <c r="E36" s="37">
        <v>1754</v>
      </c>
      <c r="F36" s="36">
        <f>Table132[[#This Row],[New position]]-Table132[[#This Row],[Old position]]</f>
        <v>0</v>
      </c>
      <c r="G36" s="37">
        <f>ROUND(Table132[[#This Row],[Target allocation ($)]]/(IF(G80&gt;0, G68,E68)*C16)*100,3)</f>
        <v>0.27100000000000002</v>
      </c>
      <c r="H36" s="42">
        <f>Table132[[#This Row],[New position]]*Table132[[#This Row],[Last_Price]]</f>
        <v>569839.52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71</v>
      </c>
      <c r="B37" s="37" t="s">
        <v>14</v>
      </c>
      <c r="C37" s="49">
        <v>114.26</v>
      </c>
      <c r="D37" s="37">
        <v>4131</v>
      </c>
      <c r="E37" s="37">
        <v>4131</v>
      </c>
      <c r="F37" s="36">
        <f>Table132[[#This Row],[New position]]-Table132[[#This Row],[Old position]]</f>
        <v>0</v>
      </c>
      <c r="G37" s="37">
        <f>ROUND(Table132[[#This Row],[Target allocation ($)]]/(IF(G80&gt;0, G68,E68)*C16)*100,3)</f>
        <v>0.224</v>
      </c>
      <c r="H37" s="42">
        <f>Table132[[#This Row],[New position]]*Table132[[#This Row],[Last_Price]]</f>
        <v>472008.06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78</v>
      </c>
      <c r="B38" s="37" t="s">
        <v>14</v>
      </c>
      <c r="C38" s="49">
        <v>130.85</v>
      </c>
      <c r="D38" s="37">
        <v>3380</v>
      </c>
      <c r="E38" s="37">
        <v>3380</v>
      </c>
      <c r="F38" s="36">
        <f>Table132[[#This Row],[New position]]-Table132[[#This Row],[Old position]]</f>
        <v>0</v>
      </c>
      <c r="G38" s="37">
        <f>ROUND(Table132[[#This Row],[Target allocation ($)]]/(IF(G80&gt;0, G68,E68)*C16)*100,3)</f>
        <v>0.21</v>
      </c>
      <c r="H38" s="42">
        <f>Table132[[#This Row],[New position]]*Table132[[#This Row],[Last_Price]]</f>
        <v>442273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80</v>
      </c>
      <c r="B39" s="37" t="s">
        <v>14</v>
      </c>
      <c r="C39" s="49">
        <v>106.23</v>
      </c>
      <c r="D39" s="37">
        <v>4245</v>
      </c>
      <c r="E39" s="37">
        <v>4245</v>
      </c>
      <c r="F39" s="36">
        <f>Table132[[#This Row],[New position]]-Table132[[#This Row],[Old position]]</f>
        <v>0</v>
      </c>
      <c r="G39" s="37">
        <f>ROUND(Table132[[#This Row],[Target allocation ($)]]/(IF(G80&gt;0, G68,E68)*C16)*100,3)</f>
        <v>0.214</v>
      </c>
      <c r="H39" s="42">
        <f>Table132[[#This Row],[New position]]*Table132[[#This Row],[Last_Price]]</f>
        <v>450946.35000000003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72</v>
      </c>
      <c r="B40" s="37" t="s">
        <v>14</v>
      </c>
      <c r="C40" s="49">
        <v>185.07</v>
      </c>
      <c r="D40" s="37">
        <v>8339</v>
      </c>
      <c r="E40" s="37">
        <v>8339</v>
      </c>
      <c r="F40" s="36">
        <f>Table132[[#This Row],[New position]]-Table132[[#This Row],[Old position]]</f>
        <v>0</v>
      </c>
      <c r="G40" s="37">
        <f>ROUND(Table132[[#This Row],[Target allocation ($)]]/(IF(G80&gt;0, G68,E68)*C16)*100,3)</f>
        <v>0.73299999999999998</v>
      </c>
      <c r="H40" s="42">
        <f>Table132[[#This Row],[New position]]*Table132[[#This Row],[Last_Price]]</f>
        <v>1543298.73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88</v>
      </c>
      <c r="B41" s="47" t="s">
        <v>14</v>
      </c>
      <c r="C41" s="49">
        <v>31.3</v>
      </c>
      <c r="D41" s="37">
        <v>67189</v>
      </c>
      <c r="E41" s="37">
        <v>100943</v>
      </c>
      <c r="F41" s="36">
        <f>Table132[[#This Row],[New position]]-Table132[[#This Row],[Old position]]</f>
        <v>33754</v>
      </c>
      <c r="G41" s="37">
        <f>ROUND(Table132[[#This Row],[Target allocation ($)]]/(IF(G80&gt;0, G68,E68)*C16)*100,3)</f>
        <v>1.5</v>
      </c>
      <c r="H41" s="42">
        <f>Table132[[#This Row],[New position]]*Table132[[#This Row],[Last_Price]]</f>
        <v>3159515.9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59</v>
      </c>
      <c r="B42" s="47" t="s">
        <v>14</v>
      </c>
      <c r="C42" s="49">
        <v>48.85</v>
      </c>
      <c r="D42" s="37">
        <v>185439</v>
      </c>
      <c r="E42" s="37">
        <v>215593</v>
      </c>
      <c r="F42" s="36">
        <f>Table132[[#This Row],[New position]]-Table132[[#This Row],[Old position]]</f>
        <v>30154</v>
      </c>
      <c r="G42" s="37">
        <f>ROUND(Table132[[#This Row],[Target allocation ($)]]/(IF(G80&gt;0, G68,E68)*C16)*100,3)</f>
        <v>5</v>
      </c>
      <c r="H42" s="42">
        <f>Table132[[#This Row],[New position]]*Table132[[#This Row],[Last_Price]]</f>
        <v>10531718.050000001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60</v>
      </c>
      <c r="B43" s="47" t="s">
        <v>14</v>
      </c>
      <c r="C43" s="49">
        <v>92.87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($)]]/(IF(G80&gt;0, G68,E68)*C16)*100,3)</f>
        <v>3.988</v>
      </c>
      <c r="H43" s="42">
        <f>Table132[[#This Row],[New position]]*Table132[[#This Row],[Last_Price]]</f>
        <v>8399069.9299999997</v>
      </c>
      <c r="I43" s="29"/>
      <c r="L43" s="53"/>
      <c r="M43"/>
      <c r="N43"/>
      <c r="O43"/>
      <c r="P43"/>
      <c r="Q43"/>
      <c r="R43"/>
    </row>
    <row r="44" spans="1:18" x14ac:dyDescent="0.25">
      <c r="A44" s="47" t="s">
        <v>82</v>
      </c>
      <c r="B44" s="47" t="s">
        <v>14</v>
      </c>
      <c r="C44" s="49">
        <v>66.45</v>
      </c>
      <c r="D44" s="37">
        <v>43654</v>
      </c>
      <c r="E44" s="37">
        <v>79245</v>
      </c>
      <c r="F44" s="36">
        <f>Table132[[#This Row],[New position]]-Table132[[#This Row],[Old position]]</f>
        <v>35591</v>
      </c>
      <c r="G44" s="37">
        <f>ROUND(Table132[[#This Row],[Target allocation ($)]]/(IF(G80&gt;0, G68,E68)*C16)*100,3)</f>
        <v>2.5</v>
      </c>
      <c r="H44" s="42">
        <f>Table132[[#This Row],[New position]]*Table132[[#This Row],[Last_Price]]</f>
        <v>5265830.25</v>
      </c>
      <c r="I44" s="29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237.538354253835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($)]]/(IF(G80&gt;0, G68,E68)*C16)*100,3)</f>
        <v>0.10100000000000001</v>
      </c>
      <c r="H45" s="42">
        <f>Table132[[#This Row],[New position]]*Table132[[#This Row],[Last_Price]]</f>
        <v>213784.51882845149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39.897567221510897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($)]]/(IF(G80&gt;0, G68,E68)*C16)*100,3)</f>
        <v>0.24399999999999999</v>
      </c>
      <c r="H46" s="42">
        <f>Table132[[#This Row],[New position]]*Table132[[#This Row],[Last_Price]]</f>
        <v>514678.61715749057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8.9820742637644102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($)]]/(IF(G80&gt;0, G68,E68)*C16)*100,3)</f>
        <v>9.4E-2</v>
      </c>
      <c r="H47" s="42">
        <f>Table132[[#This Row],[New position]]*Table132[[#This Row],[Last_Price]]</f>
        <v>197605.63380281703</v>
      </c>
      <c r="I47" s="58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14.4430217669654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($)]]/(IF(G80&gt;0, G68,E68)*C16)*100,3)</f>
        <v>0.107</v>
      </c>
      <c r="H48" s="42">
        <f>Table132[[#This Row],[New position]]*Table132[[#This Row],[Last_Price]]</f>
        <v>225311.13956466023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388.33</v>
      </c>
      <c r="D49" s="37">
        <v>132341</v>
      </c>
      <c r="E49" s="37">
        <v>146451</v>
      </c>
      <c r="F49" s="36">
        <f>Table132[[#This Row],[New position]]-Table132[[#This Row],[Old position]]</f>
        <v>14110</v>
      </c>
      <c r="G49" s="37">
        <f>ROUND(Table132[[#This Row],[Target allocation ($)]]/(IF(G80&gt;0, G68,E68)*C16)*100,3)</f>
        <v>27</v>
      </c>
      <c r="H49" s="42">
        <f>Table132[[#This Row],[New position]]*Table132[[#This Row],[Last_Price]]</f>
        <v>56871316.829999998</v>
      </c>
      <c r="I49" s="29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49.1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($)]]/(IF(G80&gt;0, G68,E68)*C16)*100,3)</f>
        <v>0.63800000000000001</v>
      </c>
      <c r="H50" s="42">
        <f>Table132[[#This Row],[New position]]*Table132[[#This Row],[Last_Price]]</f>
        <v>1342835.9000000001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77</v>
      </c>
      <c r="B51" s="47" t="s">
        <v>14</v>
      </c>
      <c r="C51" s="49">
        <v>35.57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($)]]/(IF(G80&gt;0, G68,E68)*C16)*100,3)</f>
        <v>0.621</v>
      </c>
      <c r="H51" s="42">
        <f>Table132[[#This Row],[New position]]*Table132[[#This Row],[Last_Price]]</f>
        <v>1307482.06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51</v>
      </c>
      <c r="B52" s="47" t="s">
        <v>14</v>
      </c>
      <c r="C52" s="49">
        <v>91.48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($)]]/(IF(G80&gt;0, G68,E68)*C16)*100,3)</f>
        <v>1.024</v>
      </c>
      <c r="H52" s="42">
        <f>Table132[[#This Row],[New position]]*Table132[[#This Row],[Last_Price]]</f>
        <v>2156092.12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52</v>
      </c>
      <c r="B53" s="47" t="s">
        <v>14</v>
      </c>
      <c r="C53" s="49">
        <v>50.19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($)]]/(IF(G80&gt;0, G68,E68)*C16)*100,3)</f>
        <v>0.25600000000000001</v>
      </c>
      <c r="H53" s="42">
        <f>Table132[[#This Row],[New position]]*Table132[[#This Row],[Last_Price]]</f>
        <v>540094.59</v>
      </c>
      <c r="I53" s="58"/>
      <c r="L53" s="53"/>
      <c r="M53"/>
      <c r="N53"/>
      <c r="O53"/>
      <c r="P53"/>
      <c r="Q53"/>
      <c r="R53"/>
    </row>
    <row r="54" spans="1:18" x14ac:dyDescent="0.25">
      <c r="A54" s="47" t="s">
        <v>39</v>
      </c>
      <c r="B54" s="47" t="s">
        <v>14</v>
      </c>
      <c r="C54" s="49">
        <v>79.069999999999993</v>
      </c>
      <c r="D54" s="37">
        <v>82246</v>
      </c>
      <c r="E54" s="37">
        <v>85245</v>
      </c>
      <c r="F54" s="36">
        <f>Table132[[#This Row],[New position]]-Table132[[#This Row],[Old position]]</f>
        <v>2999</v>
      </c>
      <c r="G54" s="37">
        <f>ROUND(Table132[[#This Row],[Target allocation ($)]]/(IF(G80&gt;0, G68,E68)*C16)*100,3)</f>
        <v>3.2</v>
      </c>
      <c r="H54" s="42">
        <f>Table132[[#This Row],[New position]]*Table132[[#This Row],[Last_Price]]</f>
        <v>6740322.1499999994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40</v>
      </c>
      <c r="B55" s="47" t="s">
        <v>14</v>
      </c>
      <c r="C55" s="49">
        <v>68.930000000000007</v>
      </c>
      <c r="D55" s="37">
        <v>93682</v>
      </c>
      <c r="E55" s="37">
        <v>93682</v>
      </c>
      <c r="F55" s="36">
        <f>Table132[[#This Row],[New position]]-Table132[[#This Row],[Old position]]</f>
        <v>0</v>
      </c>
      <c r="G55" s="37">
        <f>ROUND(Table132[[#This Row],[Target allocation ($)]]/(IF(G80&gt;0, G68,E68)*C16)*100,3)</f>
        <v>3.0659999999999998</v>
      </c>
      <c r="H55" s="42">
        <f>Table132[[#This Row],[New position]]*Table132[[#This Row],[Last_Price]]</f>
        <v>6457500.2600000007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53</v>
      </c>
      <c r="B56" s="47" t="s">
        <v>14</v>
      </c>
      <c r="C56" s="49">
        <v>94.34</v>
      </c>
      <c r="D56" s="37">
        <v>69594</v>
      </c>
      <c r="E56" s="37">
        <v>69594</v>
      </c>
      <c r="F56" s="36">
        <f>Table132[[#This Row],[New position]]-Table132[[#This Row],[Old position]]</f>
        <v>0</v>
      </c>
      <c r="G56" s="37">
        <f>ROUND(Table132[[#This Row],[Target allocation ($)]]/(IF(G80&gt;0, G68,E68)*C16)*100,3)</f>
        <v>3.117</v>
      </c>
      <c r="H56" s="42">
        <f>Table132[[#This Row],[New position]]*Table132[[#This Row],[Last_Price]]</f>
        <v>6565497.96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54</v>
      </c>
      <c r="B57" s="47" t="s">
        <v>14</v>
      </c>
      <c r="C57" s="49">
        <v>56.74</v>
      </c>
      <c r="D57" s="37">
        <v>116983</v>
      </c>
      <c r="E57" s="37">
        <v>116983</v>
      </c>
      <c r="F57" s="36">
        <f>Table132[[#This Row],[New position]]-Table132[[#This Row],[Old position]]</f>
        <v>0</v>
      </c>
      <c r="G57" s="37">
        <f>ROUND(Table132[[#This Row],[Target allocation ($)]]/(IF(G80&gt;0, G68,E68)*C16)*100,3)</f>
        <v>3.1509999999999998</v>
      </c>
      <c r="H57" s="42">
        <f>Table132[[#This Row],[New position]]*Table132[[#This Row],[Last_Price]]</f>
        <v>6637615.4199999999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47</v>
      </c>
      <c r="B58" s="47" t="s">
        <v>14</v>
      </c>
      <c r="C58" s="49">
        <v>286.54000000000002</v>
      </c>
      <c r="D58" s="37">
        <v>23436</v>
      </c>
      <c r="E58" s="37">
        <v>24993</v>
      </c>
      <c r="F58" s="36">
        <f>Table132[[#This Row],[New position]]-Table132[[#This Row],[Old position]]</f>
        <v>1557</v>
      </c>
      <c r="G58" s="37">
        <f>ROUND(Table132[[#This Row],[Target allocation ($)]]/(IF(G80&gt;0, G68,E68)*C16)*100,3)</f>
        <v>3.4</v>
      </c>
      <c r="H58" s="42">
        <f>Table132[[#This Row],[New position]]*Table132[[#This Row],[Last_Price]]</f>
        <v>7161494.2200000007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48</v>
      </c>
      <c r="B59" s="47" t="s">
        <v>14</v>
      </c>
      <c r="C59" s="49">
        <v>58.63</v>
      </c>
      <c r="D59" s="37">
        <v>114597</v>
      </c>
      <c r="E59" s="37">
        <v>122148</v>
      </c>
      <c r="F59" s="36">
        <f>Table132[[#This Row],[New position]]-Table132[[#This Row],[Old position]]</f>
        <v>7551</v>
      </c>
      <c r="G59" s="37">
        <f>ROUND(Table132[[#This Row],[Target allocation ($)]]/(IF(G80&gt;0, G68,E68)*C16)*100,3)</f>
        <v>3.4</v>
      </c>
      <c r="H59" s="42">
        <f>Table132[[#This Row],[New position]]*Table132[[#This Row],[Last_Price]]</f>
        <v>7161537.2400000002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73</v>
      </c>
      <c r="B60" s="47" t="s">
        <v>14</v>
      </c>
      <c r="C60" s="49">
        <v>500.35</v>
      </c>
      <c r="D60" s="37">
        <v>13160</v>
      </c>
      <c r="E60" s="37">
        <v>13160</v>
      </c>
      <c r="F60" s="36">
        <f>Table132[[#This Row],[New position]]-Table132[[#This Row],[Old position]]</f>
        <v>0</v>
      </c>
      <c r="G60" s="37">
        <f>ROUND(Table132[[#This Row],[Target allocation ($)]]/(IF(G80&gt;0, G68,E68)*C16)*100,3)</f>
        <v>3.1259999999999999</v>
      </c>
      <c r="H60" s="42">
        <f>Table132[[#This Row],[New position]]*Table132[[#This Row],[Last_Price]]</f>
        <v>6584606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74</v>
      </c>
      <c r="B61" s="47" t="s">
        <v>14</v>
      </c>
      <c r="C61" s="49">
        <v>107.53</v>
      </c>
      <c r="D61" s="37">
        <v>60650</v>
      </c>
      <c r="E61" s="37">
        <v>62683</v>
      </c>
      <c r="F61" s="36">
        <f>Table132[[#This Row],[New position]]-Table132[[#This Row],[Old position]]</f>
        <v>2033</v>
      </c>
      <c r="G61" s="37">
        <f>ROUND(Table132[[#This Row],[Target allocation ($)]]/(IF(G80&gt;0, G68,E68)*C16)*100,3)</f>
        <v>3.2</v>
      </c>
      <c r="H61" s="42">
        <f>Table132[[#This Row],[New position]]*Table132[[#This Row],[Last_Price]]</f>
        <v>6740302.9900000002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75</v>
      </c>
      <c r="B62" s="47" t="s">
        <v>14</v>
      </c>
      <c r="C62" s="49">
        <v>40.369999999999997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($)]]/(IF(G80&gt;0, G68,E68)*C16)*100,3)</f>
        <v>0.69</v>
      </c>
      <c r="H62" s="42">
        <f>Table132[[#This Row],[New position]]*Table132[[#This Row],[Last_Price]]</f>
        <v>1453320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76</v>
      </c>
      <c r="B63" s="47" t="s">
        <v>14</v>
      </c>
      <c r="C63" s="49">
        <v>140.75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($)]]/(IF(G80&gt;0, G68,E68)*C16)*100,3)</f>
        <v>0.81499999999999995</v>
      </c>
      <c r="H63" s="42">
        <f>Table132[[#This Row],[New position]]*Table132[[#This Row],[Last_Price]]</f>
        <v>1717150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79</v>
      </c>
      <c r="B64" s="47" t="s">
        <v>14</v>
      </c>
      <c r="C64" s="49">
        <v>187.41</v>
      </c>
      <c r="D64" s="37">
        <v>91855</v>
      </c>
      <c r="E64" s="37">
        <v>91855</v>
      </c>
      <c r="F64" s="36">
        <f>Table132[[#This Row],[New position]]-Table132[[#This Row],[Old position]]</f>
        <v>0</v>
      </c>
      <c r="G64" s="37">
        <f>ROUND(Table132[[#This Row],[Target allocation ($)]]/(IF(G80&gt;0, G68,E68)*C16)*100,3)</f>
        <v>8.173</v>
      </c>
      <c r="H64" s="42">
        <f>Table132[[#This Row],[New position]]*Table132[[#This Row],[Last_Price]]</f>
        <v>17214545.550000001</v>
      </c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6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4"/>
      <c r="G66" s="37"/>
      <c r="H66" s="49"/>
      <c r="I66" s="51"/>
      <c r="L66"/>
      <c r="M66"/>
      <c r="N66"/>
      <c r="O66"/>
      <c r="P66"/>
      <c r="Q66"/>
      <c r="R66"/>
    </row>
    <row r="67" spans="1:18" x14ac:dyDescent="0.25">
      <c r="A67" s="47" t="s">
        <v>57</v>
      </c>
      <c r="B67" s="47"/>
      <c r="C67" s="48"/>
      <c r="D67" s="38"/>
      <c r="E67" s="59" t="s">
        <v>55</v>
      </c>
      <c r="F67" s="34"/>
      <c r="G67" s="60" t="s">
        <v>56</v>
      </c>
      <c r="H67" s="49"/>
      <c r="I67" s="51"/>
      <c r="L67"/>
      <c r="M67"/>
      <c r="N67"/>
      <c r="O67"/>
      <c r="P67"/>
      <c r="Q67"/>
      <c r="R67"/>
    </row>
    <row r="68" spans="1:18" ht="30" x14ac:dyDescent="0.25">
      <c r="A68" s="47" t="s">
        <v>32</v>
      </c>
      <c r="B68" s="47"/>
      <c r="C68" s="48"/>
      <c r="D68" s="38"/>
      <c r="E68" s="37">
        <f xml:space="preserve"> IF(G80&gt;0, (C17+ABS(G80*G68))/C13, C17/C13)</f>
        <v>5.5000000000000018</v>
      </c>
      <c r="F68" s="34"/>
      <c r="G68" s="37">
        <v>5.5</v>
      </c>
      <c r="H68" s="49"/>
      <c r="I68" s="51"/>
      <c r="L68"/>
      <c r="M68"/>
      <c r="N68"/>
      <c r="O68"/>
      <c r="P68"/>
      <c r="Q68"/>
      <c r="R68"/>
    </row>
    <row r="69" spans="1:18" ht="15" customHeight="1" x14ac:dyDescent="0.25">
      <c r="A69" s="37" t="s">
        <v>41</v>
      </c>
      <c r="B69" s="37"/>
      <c r="C69" s="37"/>
      <c r="D69" s="50" t="str">
        <f>Table132[[#This Row],[Symbol]]</f>
        <v>SingleStocks</v>
      </c>
      <c r="E69" s="37">
        <f>ROUND(SUM(G20:G39)/100, 3)</f>
        <v>0.05</v>
      </c>
      <c r="F69" s="50" t="str">
        <f>Table132[[#This Row],[Symbol]]</f>
        <v>SingleStocks</v>
      </c>
      <c r="G69" s="37">
        <f>SUM(H20:H39)/(G68*C16)</f>
        <v>5.0377746376174558E-2</v>
      </c>
      <c r="H69" s="37"/>
      <c r="I69" s="30"/>
      <c r="L69"/>
      <c r="M69"/>
      <c r="N69"/>
      <c r="O69"/>
      <c r="P69"/>
      <c r="Q69"/>
      <c r="R69"/>
    </row>
    <row r="70" spans="1:18" ht="15.75" customHeight="1" x14ac:dyDescent="0.25">
      <c r="A70" s="47" t="s">
        <v>85</v>
      </c>
      <c r="B70" s="47"/>
      <c r="C70" s="48"/>
      <c r="D70" s="38"/>
      <c r="E70" s="56">
        <f>ROUND(SUM(G40:G41)/100, 3)</f>
        <v>2.1999999999999999E-2</v>
      </c>
      <c r="F70" s="50" t="str">
        <f>Table132[[#This Row],[Symbol]]</f>
        <v>Russel</v>
      </c>
      <c r="G70" s="56">
        <f>SUM(H40:H41)/(G68*C16)</f>
        <v>2.2326952119922267E-2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83</v>
      </c>
      <c r="B71" s="47"/>
      <c r="C71" s="48"/>
      <c r="D71" s="38"/>
      <c r="E71" s="37">
        <f>ROUND(SUM(G42:G43)/100, 3)</f>
        <v>0.09</v>
      </c>
      <c r="F71" s="50" t="str">
        <f>Table132[[#This Row],[Symbol]]</f>
        <v>S&amp;P</v>
      </c>
      <c r="G71" s="37">
        <f>SUM(H42:H43)/(G68*C16)</f>
        <v>8.9875283224135932E-2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84</v>
      </c>
      <c r="B72" s="47"/>
      <c r="C72" s="48"/>
      <c r="D72" s="38"/>
      <c r="E72" s="37">
        <f>ROUND(SUM(G44)/100, 3)</f>
        <v>2.5000000000000001E-2</v>
      </c>
      <c r="F72" s="50" t="str">
        <f>Table132[[#This Row],[Symbol]]</f>
        <v>Dow Jones</v>
      </c>
      <c r="G72" s="37">
        <f>SUM(H44)/(G68*C16)</f>
        <v>2.4999909440059795E-2</v>
      </c>
      <c r="H72" s="49"/>
      <c r="I72" s="57"/>
      <c r="L72"/>
      <c r="M72"/>
      <c r="N72"/>
      <c r="O72"/>
      <c r="P72"/>
      <c r="Q72"/>
      <c r="R72"/>
    </row>
    <row r="73" spans="1:18" ht="14.25" customHeight="1" x14ac:dyDescent="0.25">
      <c r="A73" s="47" t="s">
        <v>49</v>
      </c>
      <c r="B73" s="47"/>
      <c r="C73" s="48"/>
      <c r="D73" s="38"/>
      <c r="E73" s="37">
        <f>ROUND(SUM(G45:G48)/100, 3)</f>
        <v>5.0000000000000001E-3</v>
      </c>
      <c r="F73" s="50" t="str">
        <f>Table132[[#This Row],[Symbol]]</f>
        <v>International Stocks</v>
      </c>
      <c r="G73" s="37">
        <f>SUM(H45:H48)/(G68*C16)</f>
        <v>5.4662592788553592E-3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11</v>
      </c>
      <c r="B74" s="47"/>
      <c r="C74" s="48"/>
      <c r="D74" s="50" t="str">
        <f>Table132[[#This Row],[Symbol]]</f>
        <v>QQQ</v>
      </c>
      <c r="E74" s="56">
        <f>ROUND(SUM(G49)/100, 3)</f>
        <v>0.27</v>
      </c>
      <c r="F74" s="50" t="str">
        <f>Table132[[#This Row],[Symbol]]</f>
        <v>QQQ</v>
      </c>
      <c r="G74" s="56">
        <f>SUM(H49)/(G68*C16)</f>
        <v>0.27000068422010914</v>
      </c>
      <c r="H74" s="49"/>
      <c r="I74" s="30"/>
      <c r="L74"/>
      <c r="M74"/>
      <c r="N74"/>
      <c r="O74"/>
      <c r="P74"/>
      <c r="Q74"/>
      <c r="R74"/>
    </row>
    <row r="75" spans="1:18" ht="14.25" customHeight="1" x14ac:dyDescent="0.25">
      <c r="A75" s="37" t="s">
        <v>27</v>
      </c>
      <c r="B75" s="47"/>
      <c r="C75" s="48"/>
      <c r="D75" s="50" t="str">
        <f>Table132[[#This Row],[Symbol]]</f>
        <v>Bonds</v>
      </c>
      <c r="E75" s="56">
        <f>ROUND(SUM(G52:G61)/100, 3)</f>
        <v>0.26900000000000002</v>
      </c>
      <c r="F75" s="50" t="str">
        <f>Table132[[#This Row],[Symbol]]</f>
        <v>Bonds</v>
      </c>
      <c r="G75" s="56">
        <f>SUM(H52:H61)/(G68*C16)</f>
        <v>0.26940128480603648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47" t="s">
        <v>43</v>
      </c>
      <c r="B76" s="37"/>
      <c r="C76" s="37"/>
      <c r="D76" s="50" t="str">
        <f>Table132[[#This Row],[Symbol]]</f>
        <v>Gold</v>
      </c>
      <c r="E76" s="37">
        <f>ROUND(SUM(G64)/100,3)</f>
        <v>8.2000000000000003E-2</v>
      </c>
      <c r="F76" s="50" t="str">
        <f>Table132[[#This Row],[Symbol]]</f>
        <v>Gold</v>
      </c>
      <c r="G76" s="37">
        <f>SUM(H64)/(G68*C16)</f>
        <v>8.1727298330929746E-2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0" t="str">
        <f>Table132[[#This Row],[Symbol]]</f>
        <v>Commodities</v>
      </c>
      <c r="E77" s="37">
        <f>ROUND(SUM(G50:G51)/100,3)</f>
        <v>1.2999999999999999E-2</v>
      </c>
      <c r="F77" s="50" t="str">
        <f>Table132[[#This Row],[Symbol]]</f>
        <v>Commodities</v>
      </c>
      <c r="G77" s="37">
        <f>SUM(H50:H51)/(G68*C16)</f>
        <v>1.2582575936124036E-2</v>
      </c>
      <c r="H77" s="37"/>
      <c r="I77" s="32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47"/>
      <c r="C78" s="48"/>
      <c r="D78" s="50" t="str">
        <f>Table132[[#This Row],[Symbol]]</f>
        <v>Crypto</v>
      </c>
      <c r="E78" s="56">
        <f>ROUND(SUM(G62:G63)/100,3)</f>
        <v>1.4999999999999999E-2</v>
      </c>
      <c r="F78" s="50" t="str">
        <f>Table132[[#This Row],[Symbol]]</f>
        <v>Crypto</v>
      </c>
      <c r="G78" s="56">
        <f>SUM(H62:H63)/(G68*C16)</f>
        <v>1.5052035314360234E-2</v>
      </c>
      <c r="H78" s="49"/>
      <c r="I78" s="55"/>
      <c r="L78"/>
      <c r="M78"/>
      <c r="N78"/>
      <c r="O78"/>
      <c r="P78"/>
      <c r="Q78"/>
      <c r="R78"/>
    </row>
    <row r="79" spans="1:18" ht="14.25" customHeight="1" x14ac:dyDescent="0.25">
      <c r="A79" s="37" t="s">
        <v>23</v>
      </c>
      <c r="B79" s="37"/>
      <c r="C79" s="37"/>
      <c r="D79" s="50" t="str">
        <f>Table132[[#This Row],[Symbol]]</f>
        <v>Cash</v>
      </c>
      <c r="E79" s="37">
        <f>1-SUM(E69:E78)</f>
        <v>0.15899999999999992</v>
      </c>
      <c r="F79" s="50" t="str">
        <f>Table132[[#This Row],[Symbol]]</f>
        <v>Cash</v>
      </c>
      <c r="G79" s="37">
        <f>1-SUM(G69:G78)</f>
        <v>0.15818997095329246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C16*E79</f>
        <v>6089236.6739999969</v>
      </c>
      <c r="F80" s="34"/>
      <c r="G80" s="37">
        <f>C16*G79</f>
        <v>6058214.9219357437</v>
      </c>
      <c r="H80" s="42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2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3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3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4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2023-12-06T12:39:16Z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