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1946" documentId="14_{A48F4B07-3EF3-43E5-91B2-4CA340E6013A}" xr6:coauthVersionLast="47" xr6:coauthVersionMax="47" xr10:uidLastSave="{116E7F99-724C-4068-A3F1-2B4057888BC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3" l="1"/>
  <c r="H20" i="3"/>
  <c r="F21" i="3"/>
  <c r="H21" i="3"/>
  <c r="F22" i="3"/>
  <c r="H22" i="3"/>
  <c r="F23" i="3"/>
  <c r="H23" i="3"/>
  <c r="F24" i="3"/>
  <c r="H24" i="3"/>
  <c r="H64" i="3" l="1"/>
  <c r="F64" i="3"/>
  <c r="F70" i="3" l="1"/>
  <c r="F71" i="3"/>
  <c r="F72" i="3"/>
  <c r="F73" i="3"/>
  <c r="F74" i="3"/>
  <c r="F75" i="3"/>
  <c r="F76" i="3"/>
  <c r="F77" i="3"/>
  <c r="F78" i="3"/>
  <c r="F79" i="3"/>
  <c r="F69" i="3"/>
  <c r="H63" i="3"/>
  <c r="F63" i="3"/>
  <c r="H44" i="3" l="1"/>
  <c r="H62" i="3"/>
  <c r="F62" i="3" l="1"/>
  <c r="F31" i="3" l="1"/>
  <c r="H42" i="3"/>
  <c r="H43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34" i="3" l="1"/>
  <c r="F35" i="3"/>
  <c r="F36" i="3"/>
  <c r="F37" i="3"/>
  <c r="F38" i="3"/>
  <c r="F39" i="3"/>
  <c r="F40" i="3"/>
  <c r="F41" i="3"/>
  <c r="H40" i="3"/>
  <c r="H41" i="3"/>
  <c r="H34" i="3" l="1"/>
  <c r="H35" i="3"/>
  <c r="H31" i="3"/>
  <c r="H38" i="3" l="1"/>
  <c r="H39" i="3"/>
  <c r="H32" i="3"/>
  <c r="H37" i="3"/>
  <c r="D79" i="3"/>
  <c r="D78" i="3"/>
  <c r="D77" i="3"/>
  <c r="D76" i="3"/>
  <c r="D75" i="3"/>
  <c r="D74" i="3"/>
  <c r="D69" i="3"/>
  <c r="H33" i="3" l="1"/>
  <c r="H30" i="3" l="1"/>
  <c r="H29" i="3"/>
  <c r="H28" i="3"/>
  <c r="H36" i="3"/>
  <c r="H25" i="3" l="1"/>
  <c r="H26" i="3"/>
  <c r="H27" i="3"/>
  <c r="C17" i="3" l="1" a="1"/>
  <c r="C17" i="3" s="1"/>
  <c r="F30" i="3"/>
  <c r="F28" i="3"/>
  <c r="F33" i="3"/>
  <c r="F25" i="3" l="1"/>
  <c r="F26" i="3"/>
  <c r="F27" i="3"/>
  <c r="F29" i="3"/>
  <c r="F32" i="3"/>
  <c r="C16" i="3"/>
  <c r="C11" i="3" l="1"/>
  <c r="C6" i="3"/>
  <c r="C12" i="3"/>
  <c r="C8" i="3"/>
  <c r="C5" i="3"/>
  <c r="C9" i="3"/>
  <c r="C10" i="3"/>
  <c r="C7" i="3"/>
  <c r="C4" i="3"/>
  <c r="C3" i="3"/>
  <c r="G76" i="3"/>
  <c r="G73" i="3"/>
  <c r="G78" i="3"/>
  <c r="G74" i="3"/>
  <c r="G75" i="3"/>
  <c r="G77" i="3"/>
  <c r="G72" i="3"/>
  <c r="G71" i="3"/>
  <c r="G70" i="3"/>
  <c r="G69" i="3"/>
  <c r="C2" i="3"/>
  <c r="G79" i="3" l="1"/>
  <c r="G80" i="3" s="1"/>
  <c r="G23" i="3" l="1"/>
  <c r="G21" i="3"/>
  <c r="G22" i="3"/>
  <c r="G24" i="3"/>
  <c r="G20" i="3"/>
  <c r="E68" i="3"/>
  <c r="G48" i="3" s="1"/>
  <c r="G63" i="3" l="1"/>
  <c r="G64" i="3"/>
  <c r="E76" i="3" s="1"/>
  <c r="G61" i="3"/>
  <c r="G49" i="3"/>
  <c r="E74" i="3" s="1"/>
  <c r="G50" i="3"/>
  <c r="G40" i="3"/>
  <c r="G62" i="3"/>
  <c r="G57" i="3"/>
  <c r="G53" i="3"/>
  <c r="G58" i="3"/>
  <c r="G41" i="3"/>
  <c r="G56" i="3"/>
  <c r="G42" i="3"/>
  <c r="G43" i="3"/>
  <c r="G34" i="3"/>
  <c r="G39" i="3"/>
  <c r="G47" i="3"/>
  <c r="G31" i="3"/>
  <c r="G45" i="3"/>
  <c r="G51" i="3"/>
  <c r="G52" i="3"/>
  <c r="G59" i="3"/>
  <c r="G44" i="3"/>
  <c r="E72" i="3" s="1"/>
  <c r="G60" i="3"/>
  <c r="G35" i="3"/>
  <c r="G46" i="3"/>
  <c r="G30" i="3"/>
  <c r="G55" i="3"/>
  <c r="G54" i="3"/>
  <c r="G25" i="3"/>
  <c r="G26" i="3"/>
  <c r="G27" i="3"/>
  <c r="G33" i="3"/>
  <c r="G37" i="3"/>
  <c r="G36" i="3"/>
  <c r="G28" i="3"/>
  <c r="G32" i="3"/>
  <c r="G38" i="3"/>
  <c r="G29" i="3"/>
  <c r="E78" i="3" l="1"/>
  <c r="E77" i="3"/>
  <c r="E69" i="3"/>
  <c r="E71" i="3"/>
  <c r="E75" i="3"/>
  <c r="E70" i="3"/>
  <c r="E73" i="3"/>
  <c r="E79" i="3" l="1"/>
  <c r="E80" i="3" s="1"/>
</calcChain>
</file>

<file path=xl/sharedStrings.xml><?xml version="1.0" encoding="utf-8"?>
<sst xmlns="http://schemas.openxmlformats.org/spreadsheetml/2006/main" count="135" uniqueCount="89">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</sst>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Sheet1!$D$69:$D$79</c:f>
              <c:strCache>
                <c:ptCount val="11"/>
                <c:pt idx="0">
                  <c:v>SingleStocks</c:v>
                </c:pt>
                <c:pt idx="5">
                  <c:v>QQQ</c:v>
                </c:pt>
                <c:pt idx="6">
                  <c:v>Bonds</c:v>
                </c:pt>
                <c:pt idx="7">
                  <c:v>Gold</c:v>
                </c:pt>
                <c:pt idx="8">
                  <c:v>Commodities</c:v>
                </c:pt>
                <c:pt idx="9">
                  <c:v>Crypto</c:v>
                </c:pt>
                <c:pt idx="10">
                  <c:v>Cash</c:v>
                </c:pt>
              </c:strCache>
            </c:strRef>
          </c:cat>
          <c:val>
            <c:numRef>
              <c:f>Sheet1!$E$69:$E$79</c:f>
              <c:numCache>
                <c:formatCode>General</c:formatCode>
                <c:ptCount val="11"/>
                <c:pt idx="0">
                  <c:v>5.0999999999999997E-2</c:v>
                </c:pt>
                <c:pt idx="1">
                  <c:v>2.3E-2</c:v>
                </c:pt>
                <c:pt idx="2">
                  <c:v>0.09</c:v>
                </c:pt>
                <c:pt idx="3">
                  <c:v>2.5000000000000001E-2</c:v>
                </c:pt>
                <c:pt idx="4">
                  <c:v>6.0000000000000001E-3</c:v>
                </c:pt>
                <c:pt idx="5">
                  <c:v>0.27400000000000002</c:v>
                </c:pt>
                <c:pt idx="6">
                  <c:v>0.27400000000000002</c:v>
                </c:pt>
                <c:pt idx="7">
                  <c:v>8.4000000000000005E-2</c:v>
                </c:pt>
                <c:pt idx="8">
                  <c:v>1.2999999999999999E-2</c:v>
                </c:pt>
                <c:pt idx="9">
                  <c:v>1.4999999999999999E-2</c:v>
                </c:pt>
                <c:pt idx="10">
                  <c:v>0.14500000000000002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8</xdr:row>
      <xdr:rowOff>84324</xdr:rowOff>
    </xdr:from>
    <xdr:to>
      <xdr:col>8</xdr:col>
      <xdr:colOff>2072929</xdr:colOff>
      <xdr:row>11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16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9:I83" totalsRowShown="0" headerRowDxfId="13" dataDxfId="11" headerRowBorderDxfId="12" tableBorderDxfId="10" totalsRowBorderDxfId="9">
  <autoFilter ref="A19:I83" xr:uid="{00000000-0009-0000-0100-000001000000}"/>
  <sortState xmlns:xlrd2="http://schemas.microsoft.com/office/spreadsheetml/2017/richdata2" ref="A20:I82">
    <sortCondition ref="A19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1"/>
  <sheetViews>
    <sheetView tabSelected="1" zoomScale="115" zoomScaleNormal="115" workbookViewId="0">
      <selection activeCell="C14" sqref="C1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3" t="s">
        <v>0</v>
      </c>
      <c r="B1" s="63"/>
      <c r="C1" s="12">
        <v>45267</v>
      </c>
      <c r="E1" s="14"/>
      <c r="F1" s="14"/>
      <c r="G1" s="46"/>
      <c r="H1" s="14"/>
    </row>
    <row r="2" spans="1:8" s="13" customFormat="1" x14ac:dyDescent="0.25">
      <c r="A2" s="63" t="s">
        <v>10</v>
      </c>
      <c r="B2" s="63"/>
      <c r="C2" s="15">
        <f>C17/C16</f>
        <v>4.698084413619604</v>
      </c>
      <c r="D2"/>
      <c r="E2" s="24"/>
      <c r="F2" s="17"/>
      <c r="G2" s="17"/>
      <c r="H2" s="16"/>
    </row>
    <row r="3" spans="1:8" s="13" customFormat="1" x14ac:dyDescent="0.25">
      <c r="A3" s="65" t="s">
        <v>45</v>
      </c>
      <c r="B3" s="66"/>
      <c r="C3" s="15">
        <f>SUM(H20:H39)/C16</f>
        <v>0.28146969612887707</v>
      </c>
      <c r="D3"/>
      <c r="E3" s="24"/>
      <c r="F3" s="17"/>
      <c r="G3" s="17"/>
      <c r="H3" s="16"/>
    </row>
    <row r="4" spans="1:8" s="13" customFormat="1" x14ac:dyDescent="0.25">
      <c r="A4" s="65" t="s">
        <v>86</v>
      </c>
      <c r="B4" s="66"/>
      <c r="C4" s="15">
        <f>SUM(H40:H41)/C16</f>
        <v>0.12382970929364008</v>
      </c>
      <c r="D4"/>
      <c r="E4" s="24"/>
      <c r="F4" s="17"/>
      <c r="G4" s="17"/>
      <c r="H4" s="16"/>
    </row>
    <row r="5" spans="1:8" s="13" customFormat="1" x14ac:dyDescent="0.25">
      <c r="A5" s="61" t="s">
        <v>81</v>
      </c>
      <c r="B5" s="62"/>
      <c r="C5" s="15">
        <f>SUM(H42:H43)/C16</f>
        <v>0.49651444473280487</v>
      </c>
      <c r="D5"/>
      <c r="E5" s="24"/>
      <c r="F5" s="17"/>
      <c r="G5" s="17"/>
      <c r="H5" s="16"/>
    </row>
    <row r="6" spans="1:8" s="13" customFormat="1" x14ac:dyDescent="0.25">
      <c r="A6" s="61" t="s">
        <v>87</v>
      </c>
      <c r="B6" s="62"/>
      <c r="C6" s="15">
        <f>SUM(H44)/C16</f>
        <v>0.13925125784428502</v>
      </c>
      <c r="D6"/>
      <c r="E6" s="24"/>
      <c r="F6" s="17"/>
      <c r="G6" s="17"/>
      <c r="H6" s="16"/>
    </row>
    <row r="7" spans="1:8" s="13" customFormat="1" x14ac:dyDescent="0.25">
      <c r="A7" s="65" t="s">
        <v>50</v>
      </c>
      <c r="B7" s="66"/>
      <c r="C7" s="15">
        <f>SUM(H45:H48)/C16</f>
        <v>3.0461921049484846E-2</v>
      </c>
      <c r="D7"/>
      <c r="E7" s="24"/>
      <c r="F7" s="17"/>
      <c r="G7" s="17"/>
      <c r="H7" s="16"/>
    </row>
    <row r="8" spans="1:8" s="13" customFormat="1" x14ac:dyDescent="0.25">
      <c r="A8" s="65" t="s">
        <v>30</v>
      </c>
      <c r="B8" s="66"/>
      <c r="C8" s="15">
        <f>H49/C16</f>
        <v>1.5059509703911942</v>
      </c>
      <c r="D8"/>
      <c r="E8" s="24"/>
      <c r="F8" s="17"/>
      <c r="G8" s="17"/>
      <c r="H8" s="16"/>
    </row>
    <row r="9" spans="1:8" s="13" customFormat="1" x14ac:dyDescent="0.25">
      <c r="A9" s="65" t="s">
        <v>25</v>
      </c>
      <c r="B9" s="66"/>
      <c r="C9" s="15">
        <f>SUM(H52:H61)/C16</f>
        <v>1.5079976130054269</v>
      </c>
      <c r="D9"/>
      <c r="E9" s="24"/>
      <c r="F9" s="17"/>
      <c r="G9" s="17"/>
      <c r="H9" s="16"/>
    </row>
    <row r="10" spans="1:8" s="13" customFormat="1" x14ac:dyDescent="0.25">
      <c r="A10" s="65" t="s">
        <v>26</v>
      </c>
      <c r="B10" s="66"/>
      <c r="C10" s="15">
        <f>SUM(H50:H51)/C16</f>
        <v>6.9010880210858397E-2</v>
      </c>
      <c r="D10"/>
      <c r="E10" s="24"/>
      <c r="F10" s="17"/>
      <c r="G10" s="17"/>
      <c r="H10" s="16"/>
    </row>
    <row r="11" spans="1:8" s="13" customFormat="1" x14ac:dyDescent="0.25">
      <c r="A11" s="65" t="s">
        <v>46</v>
      </c>
      <c r="B11" s="66"/>
      <c r="C11" s="15">
        <f>SUM(H64)/C16</f>
        <v>0.46077854019720543</v>
      </c>
      <c r="D11"/>
      <c r="E11" s="24"/>
      <c r="F11" s="17"/>
      <c r="G11" s="17"/>
      <c r="H11" s="16"/>
    </row>
    <row r="12" spans="1:8" s="13" customFormat="1" ht="27.75" customHeight="1" x14ac:dyDescent="0.25">
      <c r="A12" s="64" t="s">
        <v>44</v>
      </c>
      <c r="B12" s="64"/>
      <c r="C12" s="15">
        <f>SUM(H62:H63)/C16</f>
        <v>8.281938076582622E-2</v>
      </c>
      <c r="D12" s="23"/>
      <c r="E12" s="16"/>
      <c r="F12" s="17"/>
      <c r="G12" s="17"/>
      <c r="H12" s="16"/>
    </row>
    <row r="13" spans="1:8" s="13" customFormat="1" ht="12.75" x14ac:dyDescent="0.25">
      <c r="A13" s="63" t="s">
        <v>8</v>
      </c>
      <c r="B13" s="63"/>
      <c r="C13" s="18">
        <v>37445414</v>
      </c>
      <c r="D13" s="25"/>
      <c r="E13" s="17"/>
      <c r="F13" s="17"/>
      <c r="G13" s="17"/>
      <c r="H13" s="16"/>
    </row>
    <row r="14" spans="1:8" s="13" customFormat="1" ht="12.75" x14ac:dyDescent="0.25">
      <c r="A14" s="63" t="s">
        <v>6</v>
      </c>
      <c r="B14" s="63"/>
      <c r="C14" s="18">
        <v>0</v>
      </c>
      <c r="F14" s="17"/>
      <c r="H14" s="39"/>
    </row>
    <row r="15" spans="1:8" s="13" customFormat="1" ht="12.75" x14ac:dyDescent="0.25">
      <c r="A15" s="63" t="s">
        <v>7</v>
      </c>
      <c r="B15" s="63"/>
      <c r="C15" s="18">
        <v>0</v>
      </c>
      <c r="D15" s="22"/>
      <c r="E15" s="17"/>
      <c r="F15" s="17"/>
      <c r="G15" s="17"/>
      <c r="H15" s="16"/>
    </row>
    <row r="16" spans="1:8" s="13" customFormat="1" ht="12.75" x14ac:dyDescent="0.25">
      <c r="A16" s="63" t="s">
        <v>9</v>
      </c>
      <c r="B16" s="63"/>
      <c r="C16" s="18">
        <f>C13+C14-C15</f>
        <v>37445414</v>
      </c>
      <c r="D16" s="22"/>
      <c r="E16" s="17"/>
      <c r="F16" s="17"/>
      <c r="G16" s="17"/>
      <c r="H16" s="16"/>
    </row>
    <row r="17" spans="1:18" s="13" customFormat="1" ht="27.75" customHeight="1" x14ac:dyDescent="0.25">
      <c r="A17" s="64" t="s">
        <v>5</v>
      </c>
      <c r="B17" s="64"/>
      <c r="C17" s="11">
        <f t="array" ref="C17">SUM(ABS(Table132[Target allocation ($)]))</f>
        <v>175921715.8749333</v>
      </c>
      <c r="D17" s="22" t="s">
        <v>22</v>
      </c>
      <c r="E17" s="17"/>
      <c r="F17" s="17"/>
      <c r="G17" s="17"/>
      <c r="H17" s="16"/>
      <c r="J17" s="19"/>
    </row>
    <row r="18" spans="1:18" s="8" customFormat="1" ht="2.25" customHeight="1" x14ac:dyDescent="0.2">
      <c r="A18" s="6"/>
      <c r="B18" s="6"/>
      <c r="C18" s="4"/>
      <c r="D18" s="1"/>
      <c r="E18" s="1"/>
      <c r="F18" s="1"/>
      <c r="G18" s="1"/>
      <c r="H18" s="40"/>
      <c r="I18" s="1"/>
    </row>
    <row r="19" spans="1:18" s="2" customFormat="1" ht="12.75" x14ac:dyDescent="0.25">
      <c r="A19" s="7" t="s">
        <v>12</v>
      </c>
      <c r="B19" s="7" t="s">
        <v>13</v>
      </c>
      <c r="C19" s="7" t="s">
        <v>15</v>
      </c>
      <c r="D19" s="7" t="s">
        <v>16</v>
      </c>
      <c r="E19" s="7" t="s">
        <v>17</v>
      </c>
      <c r="F19" s="9" t="s">
        <v>4</v>
      </c>
      <c r="G19" s="7" t="s">
        <v>18</v>
      </c>
      <c r="H19" s="41" t="s">
        <v>19</v>
      </c>
      <c r="I19" s="10" t="s">
        <v>1</v>
      </c>
    </row>
    <row r="20" spans="1:18" x14ac:dyDescent="0.25">
      <c r="A20" s="37" t="s">
        <v>31</v>
      </c>
      <c r="B20" s="37" t="s">
        <v>14</v>
      </c>
      <c r="C20" s="49">
        <v>41.69</v>
      </c>
      <c r="D20" s="37">
        <v>12705</v>
      </c>
      <c r="E20" s="37">
        <v>12705</v>
      </c>
      <c r="F20" s="36">
        <f>Table132[[#This Row],[New position]]-Table132[[#This Row],[Old position]]</f>
        <v>0</v>
      </c>
      <c r="G20" s="37">
        <f>ROUND(Table132[[#This Row],[Target allocation ($)]]/(IF(G80&gt;0, G68,E68)*C16)*100,3)</f>
        <v>0.25700000000000001</v>
      </c>
      <c r="H20" s="42">
        <f>Table132[[#This Row],[New position]]*Table132[[#This Row],[Last_Price]]</f>
        <v>529671.44999999995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33</v>
      </c>
      <c r="B21" s="37" t="s">
        <v>14</v>
      </c>
      <c r="C21" s="49">
        <v>200.67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($)]]/(IF(G80&gt;0, G68,E68)*C16)*100,3)</f>
        <v>0.26700000000000002</v>
      </c>
      <c r="H21" s="42">
        <f>Table132[[#This Row],[New position]]*Table132[[#This Row],[Last_Price]]</f>
        <v>550437.80999999994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35</v>
      </c>
      <c r="B22" s="37" t="s">
        <v>14</v>
      </c>
      <c r="C22" s="49">
        <v>51.83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($)]]/(IF(G80&gt;0, G68,E68)*C16)*100,3)</f>
        <v>0.26900000000000002</v>
      </c>
      <c r="H22" s="42">
        <f>Table132[[#This Row],[New position]]*Table132[[#This Row],[Last_Price]]</f>
        <v>554114.53</v>
      </c>
      <c r="I22" s="29"/>
      <c r="L22"/>
      <c r="M22"/>
      <c r="N22"/>
      <c r="O22"/>
      <c r="P22"/>
      <c r="Q22"/>
      <c r="R22"/>
    </row>
    <row r="23" spans="1:18" x14ac:dyDescent="0.25">
      <c r="A23" s="37" t="s">
        <v>36</v>
      </c>
      <c r="B23" s="37" t="s">
        <v>14</v>
      </c>
      <c r="C23" s="49">
        <v>135.47999999999999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($)]]/(IF(G80&gt;0, G68,E68)*C16)*100,3)</f>
        <v>0.26200000000000001</v>
      </c>
      <c r="H23" s="42">
        <f>Table132[[#This Row],[New position]]*Table132[[#This Row],[Last_Price]]</f>
        <v>540023.27999999991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49">
        <v>215.8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($)]]/(IF(G80&gt;0, G68,E68)*C16)*100,3)</f>
        <v>0.26600000000000001</v>
      </c>
      <c r="H24" s="42">
        <f>Table132[[#This Row],[New position]]*Table132[[#This Row],[Last_Price]]</f>
        <v>547484.6</v>
      </c>
      <c r="I24" s="52"/>
      <c r="M24"/>
      <c r="N24"/>
      <c r="O24"/>
      <c r="P24"/>
      <c r="Q24"/>
      <c r="R24"/>
    </row>
    <row r="25" spans="1:18" x14ac:dyDescent="0.25">
      <c r="A25" s="37" t="s">
        <v>38</v>
      </c>
      <c r="B25" s="37" t="s">
        <v>14</v>
      </c>
      <c r="C25" s="49">
        <v>2210.0500000000002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($)]]/(IF(G80&gt;0, G68,E68)*C16)*100,3)</f>
        <v>0.26400000000000001</v>
      </c>
      <c r="H25" s="42">
        <f>Table132[[#This Row],[New position]]*Table132[[#This Row],[Last_Price]]</f>
        <v>543672.30000000005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58</v>
      </c>
      <c r="B26" s="37" t="s">
        <v>14</v>
      </c>
      <c r="C26" s="49">
        <v>157.5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($)]]/(IF(G80&gt;0, G68,E68)*C16)*100,3)</f>
        <v>0.255</v>
      </c>
      <c r="H26" s="42">
        <f>Table132[[#This Row],[New position]]*Table132[[#This Row],[Last_Price]]</f>
        <v>525262.5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61</v>
      </c>
      <c r="B27" s="37" t="s">
        <v>14</v>
      </c>
      <c r="C27" s="49">
        <v>192.32</v>
      </c>
      <c r="D27" s="37">
        <v>2839</v>
      </c>
      <c r="E27" s="37">
        <v>2839</v>
      </c>
      <c r="F27" s="36">
        <f>Table132[[#This Row],[New position]]-Table132[[#This Row],[Old position]]</f>
        <v>0</v>
      </c>
      <c r="G27" s="37">
        <f>ROUND(Table132[[#This Row],[Target allocation ($)]]/(IF(G80&gt;0, G68,E68)*C16)*100,3)</f>
        <v>0.26500000000000001</v>
      </c>
      <c r="H27" s="42">
        <f>Table132[[#This Row],[New position]]*Table132[[#This Row],[Last_Price]]</f>
        <v>545996.48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62</v>
      </c>
      <c r="B28" s="37" t="s">
        <v>14</v>
      </c>
      <c r="C28" s="49">
        <v>368.8</v>
      </c>
      <c r="D28" s="37">
        <v>1436</v>
      </c>
      <c r="E28" s="37">
        <v>1436</v>
      </c>
      <c r="F28" s="36">
        <f>Table132[[#This Row],[New position]]-Table132[[#This Row],[Old position]]</f>
        <v>0</v>
      </c>
      <c r="G28" s="37">
        <f>ROUND(Table132[[#This Row],[Target allocation ($)]]/(IF(G80&gt;0, G68,E68)*C16)*100,3)</f>
        <v>0.25700000000000001</v>
      </c>
      <c r="H28" s="42">
        <f>Table132[[#This Row],[New position]]*Table132[[#This Row],[Last_Price]]</f>
        <v>529596.80000000005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63</v>
      </c>
      <c r="B29" s="37" t="s">
        <v>14</v>
      </c>
      <c r="C29" s="49">
        <v>130.02000000000001</v>
      </c>
      <c r="D29" s="37">
        <v>3945</v>
      </c>
      <c r="E29" s="37">
        <v>3945</v>
      </c>
      <c r="F29" s="36">
        <f>Table132[[#This Row],[New position]]-Table132[[#This Row],[Old position]]</f>
        <v>0</v>
      </c>
      <c r="G29" s="37">
        <f>ROUND(Table132[[#This Row],[Target allocation ($)]]/(IF(G80&gt;0, G68,E68)*C16)*100,3)</f>
        <v>0.249</v>
      </c>
      <c r="H29" s="42">
        <f>Table132[[#This Row],[New position]]*Table132[[#This Row],[Last_Price]]</f>
        <v>512928.9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64</v>
      </c>
      <c r="B30" s="37" t="s">
        <v>14</v>
      </c>
      <c r="C30" s="49">
        <v>38.94</v>
      </c>
      <c r="D30" s="37">
        <v>15018</v>
      </c>
      <c r="E30" s="37">
        <v>15018</v>
      </c>
      <c r="F30" s="36">
        <f>Table132[[#This Row],[New position]]-Table132[[#This Row],[Old position]]</f>
        <v>0</v>
      </c>
      <c r="G30" s="37">
        <f>ROUND(Table132[[#This Row],[Target allocation ($)]]/(IF(G80&gt;0, G68,E68)*C16)*100,3)</f>
        <v>0.28399999999999997</v>
      </c>
      <c r="H30" s="42">
        <f>Table132[[#This Row],[New position]]*Table132[[#This Row],[Last_Price]]</f>
        <v>584800.91999999993</v>
      </c>
      <c r="I30" s="30"/>
      <c r="L30"/>
      <c r="M30"/>
      <c r="N30"/>
      <c r="O30"/>
      <c r="P30"/>
      <c r="Q30"/>
      <c r="R30"/>
    </row>
    <row r="31" spans="1:18" x14ac:dyDescent="0.25">
      <c r="A31" s="47" t="s">
        <v>65</v>
      </c>
      <c r="B31" s="37" t="s">
        <v>14</v>
      </c>
      <c r="C31" s="49">
        <v>589.25</v>
      </c>
      <c r="D31" s="37">
        <v>914</v>
      </c>
      <c r="E31" s="37">
        <v>914</v>
      </c>
      <c r="F31" s="36">
        <f>Table132[[#This Row],[New position]]-Table132[[#This Row],[Old position]]</f>
        <v>0</v>
      </c>
      <c r="G31" s="37">
        <f>ROUND(Table132[[#This Row],[Target allocation ($)]]/(IF(G80&gt;0, G68,E68)*C16)*100,3)</f>
        <v>0.26200000000000001</v>
      </c>
      <c r="H31" s="42">
        <f>Table132[[#This Row],[New position]]*Table132[[#This Row],[Last_Price]]</f>
        <v>538574.5</v>
      </c>
      <c r="I31" s="57"/>
      <c r="L31"/>
      <c r="M31"/>
      <c r="N31"/>
      <c r="O31"/>
      <c r="P31"/>
      <c r="Q31"/>
      <c r="R31"/>
    </row>
    <row r="32" spans="1:18" x14ac:dyDescent="0.25">
      <c r="A32" s="37" t="s">
        <v>66</v>
      </c>
      <c r="B32" s="37" t="s">
        <v>14</v>
      </c>
      <c r="C32" s="49">
        <v>112.63</v>
      </c>
      <c r="D32" s="37">
        <v>4440</v>
      </c>
      <c r="E32" s="37">
        <v>4440</v>
      </c>
      <c r="F32" s="36">
        <f>Table132[[#This Row],[New position]]-Table132[[#This Row],[Old position]]</f>
        <v>0</v>
      </c>
      <c r="G32" s="37">
        <f>ROUND(Table132[[#This Row],[Target allocation ($)]]/(IF(G80&gt;0, G68,E68)*C16)*100,3)</f>
        <v>0.24299999999999999</v>
      </c>
      <c r="H32" s="42">
        <f>Table132[[#This Row],[New position]]*Table132[[#This Row],[Last_Price]]</f>
        <v>500077.19999999995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67</v>
      </c>
      <c r="B33" s="37" t="s">
        <v>14</v>
      </c>
      <c r="C33" s="49">
        <v>119.81</v>
      </c>
      <c r="D33" s="37">
        <v>4511</v>
      </c>
      <c r="E33" s="37">
        <v>4511</v>
      </c>
      <c r="F33" s="36">
        <f>Table132[[#This Row],[New position]]-Table132[[#This Row],[Old position]]</f>
        <v>0</v>
      </c>
      <c r="G33" s="37">
        <f>ROUND(Table132[[#This Row],[Target allocation ($)]]/(IF(G80&gt;0, G68,E68)*C16)*100,3)</f>
        <v>0.26200000000000001</v>
      </c>
      <c r="H33" s="42">
        <f>Table132[[#This Row],[New position]]*Table132[[#This Row],[Last_Price]]</f>
        <v>540462.91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68</v>
      </c>
      <c r="B34" s="37" t="s">
        <v>14</v>
      </c>
      <c r="C34" s="49">
        <v>692.08</v>
      </c>
      <c r="D34" s="37">
        <v>792</v>
      </c>
      <c r="E34" s="37">
        <v>792</v>
      </c>
      <c r="F34" s="36">
        <f>Table132[[#This Row],[New position]]-Table132[[#This Row],[Old position]]</f>
        <v>0</v>
      </c>
      <c r="G34" s="37">
        <f>ROUND(Table132[[#This Row],[Target allocation ($)]]/(IF(G80&gt;0, G68,E68)*C16)*100,3)</f>
        <v>0.26600000000000001</v>
      </c>
      <c r="H34" s="42">
        <f>Table132[[#This Row],[New position]]*Table132[[#This Row],[Last_Price]]</f>
        <v>548127.36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69</v>
      </c>
      <c r="B35" s="37" t="s">
        <v>14</v>
      </c>
      <c r="C35" s="49">
        <v>329.18</v>
      </c>
      <c r="D35" s="37">
        <v>1531</v>
      </c>
      <c r="E35" s="37">
        <v>1531</v>
      </c>
      <c r="F35" s="36">
        <f>Table132[[#This Row],[New position]]-Table132[[#This Row],[Old position]]</f>
        <v>0</v>
      </c>
      <c r="G35" s="37">
        <f>ROUND(Table132[[#This Row],[Target allocation ($)]]/(IF(G80&gt;0, G68,E68)*C16)*100,3)</f>
        <v>0.245</v>
      </c>
      <c r="H35" s="42">
        <f>Table132[[#This Row],[New position]]*Table132[[#This Row],[Last_Price]]</f>
        <v>503974.58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70</v>
      </c>
      <c r="B36" s="37" t="s">
        <v>14</v>
      </c>
      <c r="C36" s="49">
        <v>326.11</v>
      </c>
      <c r="D36" s="37">
        <v>1754</v>
      </c>
      <c r="E36" s="37">
        <v>1754</v>
      </c>
      <c r="F36" s="36">
        <f>Table132[[#This Row],[New position]]-Table132[[#This Row],[Old position]]</f>
        <v>0</v>
      </c>
      <c r="G36" s="37">
        <f>ROUND(Table132[[#This Row],[Target allocation ($)]]/(IF(G80&gt;0, G68,E68)*C16)*100,3)</f>
        <v>0.27800000000000002</v>
      </c>
      <c r="H36" s="42">
        <f>Table132[[#This Row],[New position]]*Table132[[#This Row],[Last_Price]]</f>
        <v>571996.94000000006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71</v>
      </c>
      <c r="B37" s="37" t="s">
        <v>14</v>
      </c>
      <c r="C37" s="49">
        <v>114.39</v>
      </c>
      <c r="D37" s="37">
        <v>4131</v>
      </c>
      <c r="E37" s="37">
        <v>4131</v>
      </c>
      <c r="F37" s="36">
        <f>Table132[[#This Row],[New position]]-Table132[[#This Row],[Old position]]</f>
        <v>0</v>
      </c>
      <c r="G37" s="37">
        <f>ROUND(Table132[[#This Row],[Target allocation ($)]]/(IF(G80&gt;0, G68,E68)*C16)*100,3)</f>
        <v>0.22900000000000001</v>
      </c>
      <c r="H37" s="42">
        <f>Table132[[#This Row],[New position]]*Table132[[#This Row],[Last_Price]]</f>
        <v>472545.09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78</v>
      </c>
      <c r="B38" s="37" t="s">
        <v>14</v>
      </c>
      <c r="C38" s="49">
        <v>133.61000000000001</v>
      </c>
      <c r="D38" s="37">
        <v>3380</v>
      </c>
      <c r="E38" s="37">
        <v>3380</v>
      </c>
      <c r="F38" s="36">
        <f>Table132[[#This Row],[New position]]-Table132[[#This Row],[Old position]]</f>
        <v>0</v>
      </c>
      <c r="G38" s="37">
        <f>ROUND(Table132[[#This Row],[Target allocation ($)]]/(IF(G80&gt;0, G68,E68)*C16)*100,3)</f>
        <v>0.219</v>
      </c>
      <c r="H38" s="42">
        <f>Table132[[#This Row],[New position]]*Table132[[#This Row],[Last_Price]]</f>
        <v>451601.80000000005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80</v>
      </c>
      <c r="B39" s="37" t="s">
        <v>14</v>
      </c>
      <c r="C39" s="49">
        <v>105.63</v>
      </c>
      <c r="D39" s="37">
        <v>4245</v>
      </c>
      <c r="E39" s="37">
        <v>4245</v>
      </c>
      <c r="F39" s="36">
        <f>Table132[[#This Row],[New position]]-Table132[[#This Row],[Old position]]</f>
        <v>0</v>
      </c>
      <c r="G39" s="37">
        <f>ROUND(Table132[[#This Row],[Target allocation ($)]]/(IF(G80&gt;0, G68,E68)*C16)*100,3)</f>
        <v>0.218</v>
      </c>
      <c r="H39" s="42">
        <f>Table132[[#This Row],[New position]]*Table132[[#This Row],[Last_Price]]</f>
        <v>448399.35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72</v>
      </c>
      <c r="B40" s="37" t="s">
        <v>14</v>
      </c>
      <c r="C40" s="49">
        <v>184.06</v>
      </c>
      <c r="D40" s="37">
        <v>8339</v>
      </c>
      <c r="E40" s="37">
        <v>8339</v>
      </c>
      <c r="F40" s="36">
        <f>Table132[[#This Row],[New position]]-Table132[[#This Row],[Old position]]</f>
        <v>0</v>
      </c>
      <c r="G40" s="37">
        <f>ROUND(Table132[[#This Row],[Target allocation ($)]]/(IF(G80&gt;0, G68,E68)*C16)*100,3)</f>
        <v>0.745</v>
      </c>
      <c r="H40" s="42">
        <f>Table132[[#This Row],[New position]]*Table132[[#This Row],[Last_Price]]</f>
        <v>1534876.34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88</v>
      </c>
      <c r="B41" s="47" t="s">
        <v>14</v>
      </c>
      <c r="C41" s="49">
        <v>30.73</v>
      </c>
      <c r="D41" s="37">
        <v>100943</v>
      </c>
      <c r="E41" s="37">
        <v>100943</v>
      </c>
      <c r="F41" s="36">
        <f>Table132[[#This Row],[New position]]-Table132[[#This Row],[Old position]]</f>
        <v>0</v>
      </c>
      <c r="G41" s="37">
        <f>ROUND(Table132[[#This Row],[Target allocation ($)]]/(IF(G80&gt;0, G68,E68)*C16)*100,3)</f>
        <v>1.506</v>
      </c>
      <c r="H41" s="42">
        <f>Table132[[#This Row],[New position]]*Table132[[#This Row],[Last_Price]]</f>
        <v>3101978.39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59</v>
      </c>
      <c r="B42" s="47" t="s">
        <v>14</v>
      </c>
      <c r="C42" s="49">
        <v>47.98</v>
      </c>
      <c r="D42" s="37">
        <v>215593</v>
      </c>
      <c r="E42" s="37">
        <v>215593</v>
      </c>
      <c r="F42" s="36">
        <f>Table132[[#This Row],[New position]]-Table132[[#This Row],[Old position]]</f>
        <v>0</v>
      </c>
      <c r="G42" s="37">
        <f>ROUND(Table132[[#This Row],[Target allocation ($)]]/(IF(G80&gt;0, G68,E68)*C16)*100,3)</f>
        <v>5.0229999999999997</v>
      </c>
      <c r="H42" s="42">
        <f>Table132[[#This Row],[New position]]*Table132[[#This Row],[Last_Price]]</f>
        <v>10344152.139999999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60</v>
      </c>
      <c r="B43" s="47" t="s">
        <v>14</v>
      </c>
      <c r="C43" s="49">
        <v>91.2</v>
      </c>
      <c r="D43" s="37">
        <v>90439</v>
      </c>
      <c r="E43" s="37">
        <v>90439</v>
      </c>
      <c r="F43" s="36">
        <f>Table132[[#This Row],[New position]]-Table132[[#This Row],[Old position]]</f>
        <v>0</v>
      </c>
      <c r="G43" s="37">
        <f>ROUND(Table132[[#This Row],[Target allocation ($)]]/(IF(G80&gt;0, G68,E68)*C16)*100,3)</f>
        <v>4.0049999999999999</v>
      </c>
      <c r="H43" s="42">
        <f>Table132[[#This Row],[New position]]*Table132[[#This Row],[Last_Price]]</f>
        <v>8248036.7999999998</v>
      </c>
      <c r="I43" s="29"/>
      <c r="L43" s="53"/>
      <c r="M43"/>
      <c r="N43"/>
      <c r="O43"/>
      <c r="P43"/>
      <c r="Q43"/>
      <c r="R43"/>
    </row>
    <row r="44" spans="1:18" x14ac:dyDescent="0.25">
      <c r="A44" s="47" t="s">
        <v>82</v>
      </c>
      <c r="B44" s="47" t="s">
        <v>14</v>
      </c>
      <c r="C44" s="49">
        <v>65.8</v>
      </c>
      <c r="D44" s="37">
        <v>79245</v>
      </c>
      <c r="E44" s="37">
        <v>79245</v>
      </c>
      <c r="F44" s="36">
        <f>Table132[[#This Row],[New position]]-Table132[[#This Row],[Old position]]</f>
        <v>0</v>
      </c>
      <c r="G44" s="37">
        <f>ROUND(Table132[[#This Row],[Target allocation ($)]]/(IF(G80&gt;0, G68,E68)*C16)*100,3)</f>
        <v>2.532</v>
      </c>
      <c r="H44" s="42">
        <f>Table132[[#This Row],[New position]]*Table132[[#This Row],[Last_Price]]</f>
        <v>5214321</v>
      </c>
      <c r="I44" s="29"/>
      <c r="L44" s="53"/>
      <c r="M44"/>
      <c r="N44"/>
      <c r="O44"/>
      <c r="P44"/>
      <c r="Q44"/>
      <c r="R44"/>
    </row>
    <row r="45" spans="1:18" x14ac:dyDescent="0.25">
      <c r="A45" s="47">
        <v>600519</v>
      </c>
      <c r="B45" s="47" t="s">
        <v>14</v>
      </c>
      <c r="C45" s="49">
        <v>236.95955369595501</v>
      </c>
      <c r="D45" s="37">
        <v>900</v>
      </c>
      <c r="E45" s="37">
        <v>900</v>
      </c>
      <c r="F45" s="36">
        <f>Table132[[#This Row],[New position]]-Table132[[#This Row],[Old position]]</f>
        <v>0</v>
      </c>
      <c r="G45" s="37">
        <f>ROUND(Table132[[#This Row],[Target allocation ($)]]/(IF(G80&gt;0, G68,E68)*C16)*100,3)</f>
        <v>0.104</v>
      </c>
      <c r="H45" s="42">
        <f>Table132[[#This Row],[New position]]*Table132[[#This Row],[Last_Price]]</f>
        <v>213263.5983263595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700</v>
      </c>
      <c r="B46" s="47" t="s">
        <v>14</v>
      </c>
      <c r="C46" s="49">
        <v>39.411011523687598</v>
      </c>
      <c r="D46" s="37">
        <v>12900</v>
      </c>
      <c r="E46" s="37">
        <v>12900</v>
      </c>
      <c r="F46" s="36">
        <f>Table132[[#This Row],[New position]]-Table132[[#This Row],[Old position]]</f>
        <v>0</v>
      </c>
      <c r="G46" s="37">
        <f>ROUND(Table132[[#This Row],[Target allocation ($)]]/(IF(G80&gt;0, G68,E68)*C16)*100,3)</f>
        <v>0.247</v>
      </c>
      <c r="H46" s="42">
        <f>Table132[[#This Row],[New position]]*Table132[[#This Row],[Last_Price]]</f>
        <v>508402.04865557002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9988</v>
      </c>
      <c r="B47" s="47" t="s">
        <v>14</v>
      </c>
      <c r="C47" s="49">
        <v>8.9308578745198499</v>
      </c>
      <c r="D47" s="37">
        <v>22000</v>
      </c>
      <c r="E47" s="37">
        <v>22000</v>
      </c>
      <c r="F47" s="36">
        <f>Table132[[#This Row],[New position]]-Table132[[#This Row],[Old position]]</f>
        <v>0</v>
      </c>
      <c r="G47" s="37">
        <f>ROUND(Table132[[#This Row],[Target allocation ($)]]/(IF(G80&gt;0, G68,E68)*C16)*100,3)</f>
        <v>9.5000000000000001E-2</v>
      </c>
      <c r="H47" s="42">
        <f>Table132[[#This Row],[New position]]*Table132[[#This Row],[Last_Price]]</f>
        <v>196478.87323943671</v>
      </c>
      <c r="I47" s="58"/>
      <c r="L47" s="53"/>
      <c r="M47"/>
      <c r="N47"/>
      <c r="O47"/>
      <c r="P47"/>
      <c r="Q47"/>
      <c r="R47"/>
    </row>
    <row r="48" spans="1:18" x14ac:dyDescent="0.25">
      <c r="A48" s="47">
        <v>9888</v>
      </c>
      <c r="B48" s="47" t="s">
        <v>14</v>
      </c>
      <c r="C48" s="49">
        <v>14.2637644046095</v>
      </c>
      <c r="D48" s="37">
        <v>15600</v>
      </c>
      <c r="E48" s="37">
        <v>15600</v>
      </c>
      <c r="F48" s="36">
        <f>Table132[[#This Row],[New position]]-Table132[[#This Row],[Old position]]</f>
        <v>0</v>
      </c>
      <c r="G48" s="37">
        <f>ROUND(Table132[[#This Row],[Target allocation ($)]]/(IF(G80&gt;0, G68,E68)*C16)*100,3)</f>
        <v>0.108</v>
      </c>
      <c r="H48" s="42">
        <f>Table132[[#This Row],[New position]]*Table132[[#This Row],[Last_Price]]</f>
        <v>222514.7247119082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11</v>
      </c>
      <c r="B49" s="47" t="s">
        <v>14</v>
      </c>
      <c r="C49" s="49">
        <v>385.05</v>
      </c>
      <c r="D49" s="37">
        <v>146451</v>
      </c>
      <c r="E49" s="37">
        <v>146451</v>
      </c>
      <c r="F49" s="36">
        <f>Table132[[#This Row],[New position]]-Table132[[#This Row],[Old position]]</f>
        <v>0</v>
      </c>
      <c r="G49" s="37">
        <f>ROUND(Table132[[#This Row],[Target allocation ($)]]/(IF(G80&gt;0, G68,E68)*C16)*100,3)</f>
        <v>27.381</v>
      </c>
      <c r="H49" s="42">
        <f>Table132[[#This Row],[New position]]*Table132[[#This Row],[Last_Price]]</f>
        <v>56390957.550000004</v>
      </c>
      <c r="I49" s="29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48.32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($)]]/(IF(G80&gt;0, G68,E68)*C16)*100,3)</f>
        <v>0.64200000000000002</v>
      </c>
      <c r="H50" s="42">
        <f>Table132[[#This Row],[New position]]*Table132[[#This Row],[Last_Price]]</f>
        <v>1321503.68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77</v>
      </c>
      <c r="B51" s="47" t="s">
        <v>14</v>
      </c>
      <c r="C51" s="49">
        <v>34.35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($)]]/(IF(G80&gt;0, G68,E68)*C16)*100,3)</f>
        <v>0.61299999999999999</v>
      </c>
      <c r="H51" s="42">
        <f>Table132[[#This Row],[New position]]*Table132[[#This Row],[Last_Price]]</f>
        <v>1262637.3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51</v>
      </c>
      <c r="B52" s="47" t="s">
        <v>14</v>
      </c>
      <c r="C52" s="49">
        <v>91.47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($)]]/(IF(G80&gt;0, G68,E68)*C16)*100,3)</f>
        <v>1.0469999999999999</v>
      </c>
      <c r="H52" s="42">
        <f>Table132[[#This Row],[New position]]*Table132[[#This Row],[Last_Price]]</f>
        <v>2155856.4300000002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52</v>
      </c>
      <c r="B53" s="47" t="s">
        <v>14</v>
      </c>
      <c r="C53" s="49">
        <v>50.19</v>
      </c>
      <c r="D53" s="37">
        <v>10761</v>
      </c>
      <c r="E53" s="37">
        <v>0</v>
      </c>
      <c r="F53" s="36">
        <f>Table132[[#This Row],[New position]]-Table132[[#This Row],[Old position]]</f>
        <v>-10761</v>
      </c>
      <c r="G53" s="37">
        <f>ROUND(Table132[[#This Row],[Target allocation ($)]]/(IF(G80&gt;0, G68,E68)*C16)*100,3)</f>
        <v>0</v>
      </c>
      <c r="H53" s="42">
        <f>Table132[[#This Row],[New position]]*Table132[[#This Row],[Last_Price]]</f>
        <v>0</v>
      </c>
      <c r="I53" s="58"/>
      <c r="L53" s="53"/>
      <c r="M53"/>
      <c r="N53"/>
      <c r="O53"/>
      <c r="P53"/>
      <c r="Q53"/>
      <c r="R53"/>
    </row>
    <row r="54" spans="1:18" x14ac:dyDescent="0.25">
      <c r="A54" s="47" t="s">
        <v>39</v>
      </c>
      <c r="B54" s="47" t="s">
        <v>14</v>
      </c>
      <c r="C54" s="49">
        <v>79.25</v>
      </c>
      <c r="D54" s="37">
        <v>85245</v>
      </c>
      <c r="E54" s="37">
        <v>85245</v>
      </c>
      <c r="F54" s="36">
        <f>Table132[[#This Row],[New position]]-Table132[[#This Row],[Old position]]</f>
        <v>0</v>
      </c>
      <c r="G54" s="37">
        <f>ROUND(Table132[[#This Row],[Target allocation ($)]]/(IF(G80&gt;0, G68,E68)*C16)*100,3)</f>
        <v>3.28</v>
      </c>
      <c r="H54" s="42">
        <f>Table132[[#This Row],[New position]]*Table132[[#This Row],[Last_Price]]</f>
        <v>6755666.25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40</v>
      </c>
      <c r="B55" s="47" t="s">
        <v>14</v>
      </c>
      <c r="C55" s="49">
        <v>69</v>
      </c>
      <c r="D55" s="37">
        <v>93682</v>
      </c>
      <c r="E55" s="37">
        <v>93682</v>
      </c>
      <c r="F55" s="36">
        <f>Table132[[#This Row],[New position]]-Table132[[#This Row],[Old position]]</f>
        <v>0</v>
      </c>
      <c r="G55" s="37">
        <f>ROUND(Table132[[#This Row],[Target allocation ($)]]/(IF(G80&gt;0, G68,E68)*C16)*100,3)</f>
        <v>3.1389999999999998</v>
      </c>
      <c r="H55" s="42">
        <f>Table132[[#This Row],[New position]]*Table132[[#This Row],[Last_Price]]</f>
        <v>6464058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53</v>
      </c>
      <c r="B56" s="47" t="s">
        <v>14</v>
      </c>
      <c r="C56" s="49">
        <v>95.87</v>
      </c>
      <c r="D56" s="37">
        <v>69594</v>
      </c>
      <c r="E56" s="37">
        <v>69594</v>
      </c>
      <c r="F56" s="36">
        <f>Table132[[#This Row],[New position]]-Table132[[#This Row],[Old position]]</f>
        <v>0</v>
      </c>
      <c r="G56" s="37">
        <f>ROUND(Table132[[#This Row],[Target allocation ($)]]/(IF(G80&gt;0, G68,E68)*C16)*100,3)</f>
        <v>3.24</v>
      </c>
      <c r="H56" s="42">
        <f>Table132[[#This Row],[New position]]*Table132[[#This Row],[Last_Price]]</f>
        <v>6671976.7800000003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54</v>
      </c>
      <c r="B57" s="47" t="s">
        <v>14</v>
      </c>
      <c r="C57" s="49">
        <v>59.5</v>
      </c>
      <c r="D57" s="37">
        <v>116983</v>
      </c>
      <c r="E57" s="37">
        <v>116983</v>
      </c>
      <c r="F57" s="36">
        <f>Table132[[#This Row],[New position]]-Table132[[#This Row],[Old position]]</f>
        <v>0</v>
      </c>
      <c r="G57" s="37">
        <f>ROUND(Table132[[#This Row],[Target allocation ($)]]/(IF(G80&gt;0, G68,E68)*C16)*100,3)</f>
        <v>3.38</v>
      </c>
      <c r="H57" s="42">
        <f>Table132[[#This Row],[New position]]*Table132[[#This Row],[Last_Price]]</f>
        <v>6960488.5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47</v>
      </c>
      <c r="B58" s="47" t="s">
        <v>14</v>
      </c>
      <c r="C58" s="49">
        <v>286.86</v>
      </c>
      <c r="D58" s="37">
        <v>24993</v>
      </c>
      <c r="E58" s="37">
        <v>24993</v>
      </c>
      <c r="F58" s="36">
        <f>Table132[[#This Row],[New position]]-Table132[[#This Row],[Old position]]</f>
        <v>0</v>
      </c>
      <c r="G58" s="37">
        <f>ROUND(Table132[[#This Row],[Target allocation ($)]]/(IF(G80&gt;0, G68,E68)*C16)*100,3)</f>
        <v>3.4809999999999999</v>
      </c>
      <c r="H58" s="42">
        <f>Table132[[#This Row],[New position]]*Table132[[#This Row],[Last_Price]]</f>
        <v>7169491.9800000004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48</v>
      </c>
      <c r="B59" s="47" t="s">
        <v>14</v>
      </c>
      <c r="C59" s="49">
        <v>58.6</v>
      </c>
      <c r="D59" s="37">
        <v>122148</v>
      </c>
      <c r="E59" s="37">
        <v>122148</v>
      </c>
      <c r="F59" s="36">
        <f>Table132[[#This Row],[New position]]-Table132[[#This Row],[Old position]]</f>
        <v>0</v>
      </c>
      <c r="G59" s="37">
        <f>ROUND(Table132[[#This Row],[Target allocation ($)]]/(IF(G80&gt;0, G68,E68)*C16)*100,3)</f>
        <v>3.476</v>
      </c>
      <c r="H59" s="42">
        <f>Table132[[#This Row],[New position]]*Table132[[#This Row],[Last_Price]]</f>
        <v>7157872.7999999998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73</v>
      </c>
      <c r="B60" s="47" t="s">
        <v>14</v>
      </c>
      <c r="C60" s="49">
        <v>483.8</v>
      </c>
      <c r="D60" s="37">
        <v>13160</v>
      </c>
      <c r="E60" s="37">
        <v>13160</v>
      </c>
      <c r="F60" s="36">
        <f>Table132[[#This Row],[New position]]-Table132[[#This Row],[Old position]]</f>
        <v>0</v>
      </c>
      <c r="G60" s="37">
        <f>ROUND(Table132[[#This Row],[Target allocation ($)]]/(IF(G80&gt;0, G68,E68)*C16)*100,3)</f>
        <v>3.0910000000000002</v>
      </c>
      <c r="H60" s="42">
        <f>Table132[[#This Row],[New position]]*Table132[[#This Row],[Last_Price]]</f>
        <v>6366808</v>
      </c>
      <c r="I60" s="29"/>
      <c r="L60" s="53"/>
      <c r="M60"/>
      <c r="N60"/>
      <c r="O60"/>
      <c r="P60"/>
      <c r="Q60"/>
      <c r="R60"/>
    </row>
    <row r="61" spans="1:18" x14ac:dyDescent="0.25">
      <c r="A61" s="47" t="s">
        <v>74</v>
      </c>
      <c r="B61" s="47" t="s">
        <v>14</v>
      </c>
      <c r="C61" s="49">
        <v>107.93</v>
      </c>
      <c r="D61" s="37">
        <v>62683</v>
      </c>
      <c r="E61" s="37">
        <v>62683</v>
      </c>
      <c r="F61" s="36">
        <f>Table132[[#This Row],[New position]]-Table132[[#This Row],[Old position]]</f>
        <v>0</v>
      </c>
      <c r="G61" s="37">
        <f>ROUND(Table132[[#This Row],[Target allocation ($)]]/(IF(G80&gt;0, G68,E68)*C16)*100,3)</f>
        <v>3.2850000000000001</v>
      </c>
      <c r="H61" s="42">
        <f>Table132[[#This Row],[New position]]*Table132[[#This Row],[Last_Price]]</f>
        <v>6765376.1900000004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75</v>
      </c>
      <c r="B62" s="47" t="s">
        <v>14</v>
      </c>
      <c r="C62" s="49">
        <v>40.520000000000003</v>
      </c>
      <c r="D62" s="37">
        <v>36000</v>
      </c>
      <c r="E62" s="37">
        <v>36000</v>
      </c>
      <c r="F62" s="36">
        <f>Table132[[#This Row],[New position]]-Table132[[#This Row],[Old position]]</f>
        <v>0</v>
      </c>
      <c r="G62" s="37">
        <f>ROUND(Table132[[#This Row],[Target allocation ($)]]/(IF(G80&gt;0, G68,E68)*C16)*100,3)</f>
        <v>0.70799999999999996</v>
      </c>
      <c r="H62" s="42">
        <f>Table132[[#This Row],[New position]]*Table132[[#This Row],[Last_Price]]</f>
        <v>1458720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76</v>
      </c>
      <c r="B63" s="47" t="s">
        <v>14</v>
      </c>
      <c r="C63" s="49">
        <v>134.63</v>
      </c>
      <c r="D63" s="37">
        <v>12200</v>
      </c>
      <c r="E63" s="37">
        <v>12200</v>
      </c>
      <c r="F63" s="36">
        <f>Table132[[#This Row],[New position]]-Table132[[#This Row],[Old position]]</f>
        <v>0</v>
      </c>
      <c r="G63" s="37">
        <f>ROUND(Table132[[#This Row],[Target allocation ($)]]/(IF(G80&gt;0, G68,E68)*C16)*100,3)</f>
        <v>0.79800000000000004</v>
      </c>
      <c r="H63" s="42">
        <f>Table132[[#This Row],[New position]]*Table132[[#This Row],[Last_Price]]</f>
        <v>1642486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79</v>
      </c>
      <c r="B64" s="47" t="s">
        <v>14</v>
      </c>
      <c r="C64" s="49">
        <v>187.84</v>
      </c>
      <c r="D64" s="37">
        <v>91855</v>
      </c>
      <c r="E64" s="37">
        <v>91855</v>
      </c>
      <c r="F64" s="36">
        <f>Table132[[#This Row],[New position]]-Table132[[#This Row],[Old position]]</f>
        <v>0</v>
      </c>
      <c r="G64" s="37">
        <f>ROUND(Table132[[#This Row],[Target allocation ($)]]/(IF(G80&gt;0, G68,E68)*C16)*100,3)</f>
        <v>8.3780000000000001</v>
      </c>
      <c r="H64" s="42">
        <f>Table132[[#This Row],[New position]]*Table132[[#This Row],[Last_Price]]</f>
        <v>17254043.199999999</v>
      </c>
      <c r="I64" s="29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9"/>
      <c r="D65" s="37"/>
      <c r="E65" s="37"/>
      <c r="F65" s="36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4"/>
      <c r="G66" s="37"/>
      <c r="H66" s="49"/>
      <c r="I66" s="51"/>
      <c r="L66"/>
      <c r="M66"/>
      <c r="N66"/>
      <c r="O66"/>
      <c r="P66"/>
      <c r="Q66"/>
      <c r="R66"/>
    </row>
    <row r="67" spans="1:18" x14ac:dyDescent="0.25">
      <c r="A67" s="47" t="s">
        <v>57</v>
      </c>
      <c r="B67" s="47"/>
      <c r="C67" s="48"/>
      <c r="D67" s="38"/>
      <c r="E67" s="59" t="s">
        <v>55</v>
      </c>
      <c r="F67" s="34"/>
      <c r="G67" s="60" t="s">
        <v>56</v>
      </c>
      <c r="H67" s="49"/>
      <c r="I67" s="51"/>
      <c r="L67"/>
      <c r="M67"/>
      <c r="N67"/>
      <c r="O67"/>
      <c r="P67"/>
      <c r="Q67"/>
      <c r="R67"/>
    </row>
    <row r="68" spans="1:18" ht="30" x14ac:dyDescent="0.25">
      <c r="A68" s="47" t="s">
        <v>32</v>
      </c>
      <c r="B68" s="47"/>
      <c r="C68" s="48"/>
      <c r="D68" s="38"/>
      <c r="E68" s="37">
        <f xml:space="preserve"> IF(G80&gt;0, (C17+ABS(G80*G68))/C13, C17/C13)</f>
        <v>5.5000000000000009</v>
      </c>
      <c r="F68" s="34"/>
      <c r="G68" s="37">
        <v>5.5</v>
      </c>
      <c r="H68" s="49"/>
      <c r="I68" s="51"/>
      <c r="L68"/>
      <c r="M68"/>
      <c r="N68"/>
      <c r="O68"/>
      <c r="P68"/>
      <c r="Q68"/>
      <c r="R68"/>
    </row>
    <row r="69" spans="1:18" ht="15" customHeight="1" x14ac:dyDescent="0.25">
      <c r="A69" s="37" t="s">
        <v>41</v>
      </c>
      <c r="B69" s="37"/>
      <c r="C69" s="37"/>
      <c r="D69" s="50" t="str">
        <f>Table132[[#This Row],[Symbol]]</f>
        <v>SingleStocks</v>
      </c>
      <c r="E69" s="37">
        <f>ROUND(SUM(G20:G39)/100, 3)</f>
        <v>5.0999999999999997E-2</v>
      </c>
      <c r="F69" s="50" t="str">
        <f>Table132[[#This Row],[Symbol]]</f>
        <v>SingleStocks</v>
      </c>
      <c r="G69" s="37">
        <f>SUM(H20:H39)/(G68*C16)</f>
        <v>5.1176308387068555E-2</v>
      </c>
      <c r="H69" s="37"/>
      <c r="I69" s="30"/>
      <c r="L69"/>
      <c r="M69"/>
      <c r="N69"/>
      <c r="O69"/>
      <c r="P69"/>
      <c r="Q69"/>
      <c r="R69"/>
    </row>
    <row r="70" spans="1:18" ht="15.75" customHeight="1" x14ac:dyDescent="0.25">
      <c r="A70" s="47" t="s">
        <v>85</v>
      </c>
      <c r="B70" s="47"/>
      <c r="C70" s="48"/>
      <c r="D70" s="38"/>
      <c r="E70" s="56">
        <f>ROUND(SUM(G40:G41)/100, 3)</f>
        <v>2.3E-2</v>
      </c>
      <c r="F70" s="50" t="str">
        <f>Table132[[#This Row],[Symbol]]</f>
        <v>Russel</v>
      </c>
      <c r="G70" s="56">
        <f>SUM(H40:H41)/(G68*C16)</f>
        <v>2.2514492598843652E-2</v>
      </c>
      <c r="H70" s="49"/>
      <c r="I70" s="57"/>
      <c r="L70"/>
      <c r="M70"/>
      <c r="N70"/>
      <c r="O70"/>
      <c r="P70"/>
      <c r="Q70"/>
      <c r="R70"/>
    </row>
    <row r="71" spans="1:18" ht="15.75" customHeight="1" x14ac:dyDescent="0.25">
      <c r="A71" s="47" t="s">
        <v>83</v>
      </c>
      <c r="B71" s="47"/>
      <c r="C71" s="48"/>
      <c r="D71" s="38"/>
      <c r="E71" s="37">
        <f>ROUND(SUM(G42:G43)/100, 3)</f>
        <v>0.09</v>
      </c>
      <c r="F71" s="50" t="str">
        <f>Table132[[#This Row],[Symbol]]</f>
        <v>S&amp;P</v>
      </c>
      <c r="G71" s="37">
        <f>SUM(H42:H43)/(G68*C16)</f>
        <v>9.02753535877827E-2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84</v>
      </c>
      <c r="B72" s="47"/>
      <c r="C72" s="48"/>
      <c r="D72" s="38"/>
      <c r="E72" s="37">
        <f>ROUND(SUM(G44)/100, 3)</f>
        <v>2.5000000000000001E-2</v>
      </c>
      <c r="F72" s="50" t="str">
        <f>Table132[[#This Row],[Symbol]]</f>
        <v>Dow Jones</v>
      </c>
      <c r="G72" s="37">
        <f>SUM(H44)/(G68*C16)</f>
        <v>2.5318410517142731E-2</v>
      </c>
      <c r="H72" s="49"/>
      <c r="I72" s="57"/>
      <c r="L72"/>
      <c r="M72"/>
      <c r="N72"/>
      <c r="O72"/>
      <c r="P72"/>
      <c r="Q72"/>
      <c r="R72"/>
    </row>
    <row r="73" spans="1:18" ht="14.25" customHeight="1" x14ac:dyDescent="0.25">
      <c r="A73" s="47" t="s">
        <v>49</v>
      </c>
      <c r="B73" s="47"/>
      <c r="C73" s="48"/>
      <c r="D73" s="38"/>
      <c r="E73" s="37">
        <f>ROUND(SUM(G45:G48)/100, 3)</f>
        <v>6.0000000000000001E-3</v>
      </c>
      <c r="F73" s="50" t="str">
        <f>Table132[[#This Row],[Symbol]]</f>
        <v>International Stocks</v>
      </c>
      <c r="G73" s="37">
        <f>SUM(H45:H48)/(G68*C16)</f>
        <v>5.538531099906336E-3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11</v>
      </c>
      <c r="B74" s="47"/>
      <c r="C74" s="48"/>
      <c r="D74" s="50" t="str">
        <f>Table132[[#This Row],[Symbol]]</f>
        <v>QQQ</v>
      </c>
      <c r="E74" s="56">
        <f>ROUND(SUM(G49)/100, 3)</f>
        <v>0.27400000000000002</v>
      </c>
      <c r="F74" s="50" t="str">
        <f>Table132[[#This Row],[Symbol]]</f>
        <v>QQQ</v>
      </c>
      <c r="G74" s="56">
        <f>SUM(H49)/(G68*C16)</f>
        <v>0.27380926734385347</v>
      </c>
      <c r="H74" s="49"/>
      <c r="I74" s="30"/>
      <c r="L74"/>
      <c r="M74"/>
      <c r="N74"/>
      <c r="O74"/>
      <c r="P74"/>
      <c r="Q74"/>
      <c r="R74"/>
    </row>
    <row r="75" spans="1:18" ht="14.25" customHeight="1" x14ac:dyDescent="0.25">
      <c r="A75" s="37" t="s">
        <v>27</v>
      </c>
      <c r="B75" s="47"/>
      <c r="C75" s="48"/>
      <c r="D75" s="50" t="str">
        <f>Table132[[#This Row],[Symbol]]</f>
        <v>Bonds</v>
      </c>
      <c r="E75" s="56">
        <f>ROUND(SUM(G52:G61)/100, 3)</f>
        <v>0.27400000000000002</v>
      </c>
      <c r="F75" s="50" t="str">
        <f>Table132[[#This Row],[Symbol]]</f>
        <v>Bonds</v>
      </c>
      <c r="G75" s="56">
        <f>SUM(H52:H61)/(G68*C16)</f>
        <v>0.27418138418280485</v>
      </c>
      <c r="H75" s="49"/>
      <c r="I75" s="30"/>
      <c r="L75"/>
      <c r="M75"/>
      <c r="N75"/>
      <c r="O75"/>
      <c r="P75"/>
      <c r="Q75"/>
      <c r="R75"/>
    </row>
    <row r="76" spans="1:18" ht="14.25" customHeight="1" x14ac:dyDescent="0.25">
      <c r="A76" s="47" t="s">
        <v>43</v>
      </c>
      <c r="B76" s="37"/>
      <c r="C76" s="37"/>
      <c r="D76" s="50" t="str">
        <f>Table132[[#This Row],[Symbol]]</f>
        <v>Gold</v>
      </c>
      <c r="E76" s="37">
        <f>ROUND(SUM(G64)/100,3)</f>
        <v>8.4000000000000005E-2</v>
      </c>
      <c r="F76" s="50" t="str">
        <f>Table132[[#This Row],[Symbol]]</f>
        <v>Gold</v>
      </c>
      <c r="G76" s="37">
        <f>SUM(H64)/(G68*C16)</f>
        <v>8.3777916399491892E-2</v>
      </c>
      <c r="H76" s="37"/>
      <c r="I76" s="31"/>
      <c r="L76"/>
      <c r="M76"/>
      <c r="N76"/>
      <c r="O76"/>
      <c r="P76"/>
      <c r="Q76"/>
      <c r="R76"/>
    </row>
    <row r="77" spans="1:18" ht="15" customHeight="1" x14ac:dyDescent="0.25">
      <c r="A77" s="37" t="s">
        <v>28</v>
      </c>
      <c r="B77" s="37"/>
      <c r="C77" s="37"/>
      <c r="D77" s="50" t="str">
        <f>Table132[[#This Row],[Symbol]]</f>
        <v>Commodities</v>
      </c>
      <c r="E77" s="37">
        <f>ROUND(SUM(G50:G51)/100,3)</f>
        <v>1.2999999999999999E-2</v>
      </c>
      <c r="F77" s="50" t="str">
        <f>Table132[[#This Row],[Symbol]]</f>
        <v>Commodities</v>
      </c>
      <c r="G77" s="37">
        <f>SUM(H50:H51)/(G68*C16)</f>
        <v>1.2547432765610617E-2</v>
      </c>
      <c r="H77" s="37"/>
      <c r="I77" s="32"/>
      <c r="L77"/>
      <c r="M77"/>
      <c r="N77"/>
      <c r="O77"/>
      <c r="P77"/>
      <c r="Q77"/>
      <c r="R77"/>
    </row>
    <row r="78" spans="1:18" ht="14.25" customHeight="1" x14ac:dyDescent="0.25">
      <c r="A78" s="47" t="s">
        <v>42</v>
      </c>
      <c r="B78" s="47"/>
      <c r="C78" s="48"/>
      <c r="D78" s="50" t="str">
        <f>Table132[[#This Row],[Symbol]]</f>
        <v>Crypto</v>
      </c>
      <c r="E78" s="56">
        <f>ROUND(SUM(G62:G63)/100,3)</f>
        <v>1.4999999999999999E-2</v>
      </c>
      <c r="F78" s="50" t="str">
        <f>Table132[[#This Row],[Symbol]]</f>
        <v>Crypto</v>
      </c>
      <c r="G78" s="56">
        <f>SUM(H62:H63)/(G68*C16)</f>
        <v>1.5058069230150222E-2</v>
      </c>
      <c r="H78" s="49"/>
      <c r="I78" s="55"/>
      <c r="L78"/>
      <c r="M78"/>
      <c r="N78"/>
      <c r="O78"/>
      <c r="P78"/>
      <c r="Q78"/>
      <c r="R78"/>
    </row>
    <row r="79" spans="1:18" ht="14.25" customHeight="1" x14ac:dyDescent="0.25">
      <c r="A79" s="37" t="s">
        <v>23</v>
      </c>
      <c r="B79" s="37"/>
      <c r="C79" s="37"/>
      <c r="D79" s="50" t="str">
        <f>Table132[[#This Row],[Symbol]]</f>
        <v>Cash</v>
      </c>
      <c r="E79" s="37">
        <f>1-SUM(E69:E78)</f>
        <v>0.14500000000000002</v>
      </c>
      <c r="F79" s="50" t="str">
        <f>Table132[[#This Row],[Symbol]]</f>
        <v>Cash</v>
      </c>
      <c r="G79" s="37">
        <f>1-SUM(G69:G78)</f>
        <v>0.14580283388734494</v>
      </c>
      <c r="H79" s="37"/>
      <c r="I79" s="30"/>
      <c r="L79"/>
      <c r="M79"/>
      <c r="N79"/>
      <c r="O79"/>
      <c r="P79"/>
      <c r="Q79"/>
      <c r="R79"/>
    </row>
    <row r="80" spans="1:18" x14ac:dyDescent="0.25">
      <c r="A80" s="27" t="s">
        <v>29</v>
      </c>
      <c r="B80" s="27"/>
      <c r="C80" s="35"/>
      <c r="D80" s="34"/>
      <c r="E80" s="27">
        <f>C16*E79</f>
        <v>5429585.0300000003</v>
      </c>
      <c r="F80" s="34"/>
      <c r="G80" s="37">
        <f>C16*G79</f>
        <v>5459647.4772848608</v>
      </c>
      <c r="H80" s="42"/>
      <c r="I80" s="33"/>
      <c r="L80"/>
      <c r="M80"/>
      <c r="N80"/>
      <c r="O80"/>
      <c r="P80"/>
      <c r="Q80"/>
      <c r="R80"/>
    </row>
    <row r="81" spans="1:18" x14ac:dyDescent="0.25">
      <c r="A81" s="27"/>
      <c r="B81" s="27"/>
      <c r="C81" s="35"/>
      <c r="D81" s="27"/>
      <c r="E81" s="27"/>
      <c r="F81" s="27"/>
      <c r="G81" s="37"/>
      <c r="H81" s="42"/>
      <c r="I81" s="30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34"/>
      <c r="G82" s="37"/>
      <c r="H82" s="42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1"/>
      <c r="B84" s="5" t="s">
        <v>21</v>
      </c>
      <c r="D84" s="1"/>
      <c r="E84" s="5" t="s">
        <v>20</v>
      </c>
      <c r="F84" s="1"/>
      <c r="G84" s="5"/>
      <c r="H84" s="43" t="s">
        <v>2</v>
      </c>
      <c r="I84" s="4"/>
      <c r="L84"/>
      <c r="M84"/>
      <c r="N84"/>
      <c r="O84"/>
      <c r="P84"/>
      <c r="Q84"/>
      <c r="R84"/>
    </row>
    <row r="85" spans="1:18" x14ac:dyDescent="0.25">
      <c r="B85" s="5" t="s">
        <v>24</v>
      </c>
      <c r="D85" s="1"/>
      <c r="E85" s="5" t="s">
        <v>24</v>
      </c>
      <c r="F85" s="1"/>
      <c r="G85" s="5"/>
      <c r="H85" s="43" t="s">
        <v>3</v>
      </c>
      <c r="L85"/>
      <c r="M85"/>
      <c r="N85"/>
      <c r="O85"/>
      <c r="P85"/>
      <c r="Q85"/>
      <c r="R85"/>
    </row>
    <row r="86" spans="1:18" x14ac:dyDescent="0.25">
      <c r="B86" s="3"/>
      <c r="C86"/>
      <c r="D86" s="1"/>
      <c r="E86" s="3"/>
      <c r="F86" s="20"/>
      <c r="G86" s="3"/>
      <c r="H86" s="44"/>
      <c r="L86"/>
      <c r="M86"/>
      <c r="N86"/>
      <c r="O86"/>
      <c r="P86"/>
      <c r="Q86"/>
      <c r="R86"/>
    </row>
    <row r="87" spans="1:18" x14ac:dyDescent="0.25">
      <c r="C87"/>
      <c r="L87"/>
      <c r="M87"/>
      <c r="N87"/>
      <c r="O87"/>
      <c r="P87"/>
      <c r="Q87"/>
      <c r="R87"/>
    </row>
    <row r="88" spans="1:18" x14ac:dyDescent="0.25"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</sheetData>
  <mergeCells count="15">
    <mergeCell ref="A16:B16"/>
    <mergeCell ref="A17:B17"/>
    <mergeCell ref="A1:B1"/>
    <mergeCell ref="A2:B2"/>
    <mergeCell ref="A12:B12"/>
    <mergeCell ref="A13:B13"/>
    <mergeCell ref="A14:B14"/>
    <mergeCell ref="A15:B15"/>
    <mergeCell ref="A3:B3"/>
    <mergeCell ref="A9:B9"/>
    <mergeCell ref="A10:B10"/>
    <mergeCell ref="A11:B11"/>
    <mergeCell ref="A8:B8"/>
    <mergeCell ref="A4:B4"/>
    <mergeCell ref="A7:B7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2023-12-07T09:32:21Z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