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008" documentId="14_{A48F4B07-3EF3-43E5-91B2-4CA340E6013A}" xr6:coauthVersionLast="47" xr6:coauthVersionMax="47" xr10:uidLastSave="{1E6241F1-39BE-4112-B014-B28616F3D521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3" l="1"/>
  <c r="G79" i="3"/>
  <c r="G77" i="3"/>
  <c r="G75" i="3"/>
  <c r="F74" i="3"/>
  <c r="H65" i="3"/>
  <c r="H66" i="3"/>
  <c r="F64" i="3"/>
  <c r="F65" i="3"/>
  <c r="F66" i="3"/>
  <c r="F20" i="3"/>
  <c r="H20" i="3"/>
  <c r="F21" i="3"/>
  <c r="H21" i="3"/>
  <c r="F22" i="3"/>
  <c r="H22" i="3"/>
  <c r="F23" i="3"/>
  <c r="H23" i="3"/>
  <c r="F24" i="3"/>
  <c r="H24" i="3"/>
  <c r="H64" i="3" l="1"/>
  <c r="G83" i="3" s="1"/>
  <c r="F75" i="3" l="1"/>
  <c r="F76" i="3"/>
  <c r="F77" i="3"/>
  <c r="F78" i="3"/>
  <c r="F79" i="3"/>
  <c r="F80" i="3"/>
  <c r="F81" i="3"/>
  <c r="F82" i="3"/>
  <c r="F83" i="3"/>
  <c r="F84" i="3"/>
  <c r="F73" i="3"/>
  <c r="H63" i="3"/>
  <c r="F63" i="3"/>
  <c r="H44" i="3" l="1"/>
  <c r="H62" i="3"/>
  <c r="F62" i="3" l="1"/>
  <c r="F31" i="3" l="1"/>
  <c r="H42" i="3"/>
  <c r="H43" i="3"/>
  <c r="H45" i="3"/>
  <c r="G76" i="3" s="1"/>
  <c r="H46" i="3"/>
  <c r="H47" i="3"/>
  <c r="H48" i="3"/>
  <c r="H49" i="3"/>
  <c r="H50" i="3"/>
  <c r="H51" i="3"/>
  <c r="H52" i="3"/>
  <c r="G82" i="3" s="1"/>
  <c r="H53" i="3"/>
  <c r="H54" i="3"/>
  <c r="H55" i="3"/>
  <c r="H56" i="3"/>
  <c r="H57" i="3"/>
  <c r="H58" i="3"/>
  <c r="H59" i="3"/>
  <c r="H60" i="3"/>
  <c r="H6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G80" i="3" l="1"/>
  <c r="G78" i="3"/>
  <c r="F34" i="3"/>
  <c r="F35" i="3"/>
  <c r="F36" i="3"/>
  <c r="F37" i="3"/>
  <c r="F38" i="3"/>
  <c r="F39" i="3"/>
  <c r="F40" i="3"/>
  <c r="F41" i="3"/>
  <c r="H40" i="3"/>
  <c r="G74" i="3" s="1"/>
  <c r="H41" i="3"/>
  <c r="H34" i="3" l="1"/>
  <c r="H35" i="3"/>
  <c r="H31" i="3"/>
  <c r="H38" i="3" l="1"/>
  <c r="H39" i="3"/>
  <c r="H32" i="3"/>
  <c r="H37" i="3"/>
  <c r="D84" i="3"/>
  <c r="D83" i="3"/>
  <c r="D82" i="3"/>
  <c r="D81" i="3"/>
  <c r="D80" i="3"/>
  <c r="D79" i="3"/>
  <c r="D73" i="3"/>
  <c r="H33" i="3" l="1"/>
  <c r="H30" i="3" l="1"/>
  <c r="H29" i="3"/>
  <c r="H28" i="3"/>
  <c r="H36" i="3"/>
  <c r="H25" i="3" l="1"/>
  <c r="H26" i="3"/>
  <c r="H27" i="3"/>
  <c r="G73" i="3" l="1"/>
  <c r="C17" i="3" a="1"/>
  <c r="C17" i="3" s="1"/>
  <c r="F30" i="3"/>
  <c r="F28" i="3"/>
  <c r="F33" i="3"/>
  <c r="F25" i="3" l="1"/>
  <c r="F26" i="3"/>
  <c r="F27" i="3"/>
  <c r="F29" i="3"/>
  <c r="F32" i="3"/>
  <c r="C16" i="3"/>
  <c r="C11" i="3" l="1"/>
  <c r="C6" i="3"/>
  <c r="C12" i="3"/>
  <c r="C8" i="3"/>
  <c r="C5" i="3"/>
  <c r="C9" i="3"/>
  <c r="C10" i="3"/>
  <c r="C7" i="3"/>
  <c r="C4" i="3"/>
  <c r="C3" i="3"/>
  <c r="C2" i="3"/>
  <c r="G84" i="3" l="1"/>
  <c r="G85" i="3" s="1"/>
  <c r="E72" i="3" l="1"/>
  <c r="G48" i="3" s="1"/>
  <c r="G21" i="3" l="1"/>
  <c r="G24" i="3"/>
  <c r="G23" i="3"/>
  <c r="G65" i="3"/>
  <c r="G20" i="3"/>
  <c r="G22" i="3"/>
  <c r="G64" i="3"/>
  <c r="G66" i="3"/>
  <c r="E81" i="3" s="1"/>
  <c r="G63" i="3"/>
  <c r="G61" i="3"/>
  <c r="G49" i="3"/>
  <c r="G50" i="3"/>
  <c r="G40" i="3"/>
  <c r="G62" i="3"/>
  <c r="G57" i="3"/>
  <c r="G53" i="3"/>
  <c r="G58" i="3"/>
  <c r="G41" i="3"/>
  <c r="G56" i="3"/>
  <c r="G42" i="3"/>
  <c r="G43" i="3"/>
  <c r="G34" i="3"/>
  <c r="G39" i="3"/>
  <c r="G47" i="3"/>
  <c r="G31" i="3"/>
  <c r="G45" i="3"/>
  <c r="G51" i="3"/>
  <c r="E79" i="3" s="1"/>
  <c r="G52" i="3"/>
  <c r="G59" i="3"/>
  <c r="G44" i="3"/>
  <c r="G60" i="3"/>
  <c r="G35" i="3"/>
  <c r="G46" i="3"/>
  <c r="E77" i="3" s="1"/>
  <c r="G30" i="3"/>
  <c r="G55" i="3"/>
  <c r="G54" i="3"/>
  <c r="G25" i="3"/>
  <c r="G26" i="3"/>
  <c r="G27" i="3"/>
  <c r="G33" i="3"/>
  <c r="G37" i="3"/>
  <c r="G36" i="3"/>
  <c r="G28" i="3"/>
  <c r="G32" i="3"/>
  <c r="G38" i="3"/>
  <c r="G29" i="3"/>
  <c r="E74" i="3" l="1"/>
  <c r="E76" i="3"/>
  <c r="E83" i="3"/>
  <c r="E82" i="3"/>
  <c r="E78" i="3"/>
  <c r="E80" i="3"/>
  <c r="E73" i="3"/>
  <c r="E75" i="3"/>
  <c r="E84" i="3" l="1"/>
  <c r="E85" i="3" s="1"/>
</calcChain>
</file>

<file path=xl/sharedStrings.xml><?xml version="1.0" encoding="utf-8"?>
<sst xmlns="http://schemas.openxmlformats.org/spreadsheetml/2006/main" count="140" uniqueCount="92">
  <si>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</si>
  <si>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</si>
  <si>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</si>
  <si>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</si>
  <si>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</si>
  <si>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</si>
  <si>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</si>
  <si>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</si>
  <si>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</si>
  <si>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</si>
  <si>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</si>
  <si>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</si>
  <si>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</si>
  <si>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</si>
  <si>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</si>
  <si>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</si>
  <si>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</si>
  <si>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</si>
  <si>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</si>
  <si>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</si>
  <si>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</si>
  <si>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</si>
  <si>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</si>
  <si>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</si>
  <si>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</si>
  <si>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</si>
  <si>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</si>
  <si>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</si>
  <si>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</si>
  <si>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</si>
  <si>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</si>
  <si>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</si>
  <si>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</si>
  <si>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</si>
  <si>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</si>
  <si>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</si>
  <si>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</si>
  <si>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</si>
  <si>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</si>
  <si>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</si>
  <si>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</si>
  <si>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</si>
  <si>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</si>
  <si>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</si>
  <si>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</si>
  <si>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</si>
  <si>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</si>
  <si>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</si>
  <si>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</si>
  <si>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</si>
  <si>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</si>
  <si>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</si>
  <si>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</si>
  <si>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</si>
  <si>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</si>
  <si>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</si>
  <si>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</si>
  <si>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</si>
  <si>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</si>
  <si>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</si>
  <si>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</si>
  <si>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</si>
  <si>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</si>
  <si>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</si>
  <si>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</si>
  <si>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</si>
  <si>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</si>
  <si>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</si>
  <si>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</si>
  <si>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</si>
  <si>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</si>
  <si>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</si>
  <si>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</si>
  <si>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</si>
  <si>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</si>
  <si>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</si>
  <si>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</si>
  <si>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</si>
  <si>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</si>
  <si>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</si>
  <si>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</si>
  <si>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</si>
  <si>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</si>
  <si>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</si>
  <si>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</si>
  <si>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</si>
  <si>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</si>
  <si>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</si>
  <si>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HOOD</t>
  </si>
  <si>
    <t>SOXL</t>
  </si>
  <si>
    <t>HYG</t>
  </si>
  <si>
    <t>Semicondutor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</si>
</sst>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0" fontId="0" fillId="2" borderId="1" xfId="0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Sheet1!$D$73:$D$84</c:f>
              <c:strCache>
                <c:ptCount val="12"/>
                <c:pt idx="0">
                  <c:v>SingleStocks</c:v>
                </c:pt>
                <c:pt idx="6">
                  <c:v>QQQ</c:v>
                </c:pt>
                <c:pt idx="7">
                  <c:v>Bonds</c:v>
                </c:pt>
                <c:pt idx="8">
                  <c:v>Gold</c:v>
                </c:pt>
                <c:pt idx="9">
                  <c:v>Commodities</c:v>
                </c:pt>
                <c:pt idx="10">
                  <c:v>Crypto</c:v>
                </c:pt>
                <c:pt idx="11">
                  <c:v>Cash</c:v>
                </c:pt>
              </c:strCache>
            </c:strRef>
          </c:cat>
          <c:val>
            <c:numRef>
              <c:f>Sheet1!$E$73:$E$84</c:f>
              <c:numCache>
                <c:formatCode>General</c:formatCode>
                <c:ptCount val="12"/>
                <c:pt idx="0">
                  <c:v>4.2000000000000003E-2</c:v>
                </c:pt>
                <c:pt idx="1">
                  <c:v>5.0000000000000001E-3</c:v>
                </c:pt>
                <c:pt idx="2">
                  <c:v>0.03</c:v>
                </c:pt>
                <c:pt idx="3">
                  <c:v>9.8000000000000004E-2</c:v>
                </c:pt>
                <c:pt idx="4">
                  <c:v>2.5000000000000001E-2</c:v>
                </c:pt>
                <c:pt idx="5">
                  <c:v>5.0000000000000001E-3</c:v>
                </c:pt>
                <c:pt idx="6">
                  <c:v>0.28999999999999998</c:v>
                </c:pt>
                <c:pt idx="7">
                  <c:v>0.28799999999999998</c:v>
                </c:pt>
                <c:pt idx="8">
                  <c:v>8.1000000000000003E-2</c:v>
                </c:pt>
                <c:pt idx="9">
                  <c:v>1.2E-2</c:v>
                </c:pt>
                <c:pt idx="10">
                  <c:v>1.4999999999999999E-2</c:v>
                </c:pt>
                <c:pt idx="11">
                  <c:v>0.1090000000000001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8" totalsRowShown="0" headerRowDxfId="13" dataDxfId="11" headerRowBorderDxfId="12" tableBorderDxfId="10" totalsRowBorderDxfId="9">
  <autoFilter ref="A19:I88" xr:uid="{00000000-0009-0000-0100-000001000000}"/>
  <sortState xmlns:xlrd2="http://schemas.microsoft.com/office/spreadsheetml/2017/richdata2" ref="A20:I87">
    <sortCondition ref="A19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6"/>
  <sheetViews>
    <sheetView tabSelected="1" topLeftCell="A43" zoomScale="115" zoomScaleNormal="115" workbookViewId="0">
      <selection activeCell="J59" sqref="J5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3" t="s">
        <v>0</v>
      </c>
      <c r="B1" s="63"/>
      <c r="C1" s="12">
        <v>45268</v>
      </c>
      <c r="E1" s="14"/>
      <c r="F1" s="14"/>
      <c r="G1" s="46"/>
      <c r="H1" s="14"/>
    </row>
    <row r="2" spans="1:8" s="13" customFormat="1" x14ac:dyDescent="0.25">
      <c r="A2" s="63" t="s">
        <v>10</v>
      </c>
      <c r="B2" s="63"/>
      <c r="C2" s="15">
        <f>C17/C16</f>
        <v>4.8946479749172633</v>
      </c>
      <c r="D2"/>
      <c r="E2" s="24"/>
      <c r="F2" s="17"/>
      <c r="G2" s="17"/>
      <c r="H2" s="16"/>
    </row>
    <row r="3" spans="1:8" s="13" customFormat="1" x14ac:dyDescent="0.25">
      <c r="A3" s="65" t="s">
        <v>45</v>
      </c>
      <c r="B3" s="66"/>
      <c r="C3" s="15">
        <f>SUM(H20:H39)/C16</f>
        <v>0.23010727137172218</v>
      </c>
      <c r="D3"/>
      <c r="E3" s="24"/>
      <c r="F3" s="17"/>
      <c r="G3" s="17"/>
      <c r="H3" s="16"/>
    </row>
    <row r="4" spans="1:8" s="13" customFormat="1" x14ac:dyDescent="0.25">
      <c r="A4" s="65" t="s">
        <v>85</v>
      </c>
      <c r="B4" s="66"/>
      <c r="C4" s="15">
        <f>SUM(H40:H41)/C16</f>
        <v>2.489074102123379E-2</v>
      </c>
      <c r="D4"/>
      <c r="E4" s="24"/>
      <c r="F4" s="17"/>
      <c r="G4" s="17"/>
      <c r="H4" s="16"/>
    </row>
    <row r="5" spans="1:8" s="13" customFormat="1" x14ac:dyDescent="0.25">
      <c r="A5" s="61" t="s">
        <v>80</v>
      </c>
      <c r="B5" s="62"/>
      <c r="C5" s="15">
        <f>SUM(H42:H43)/C16</f>
        <v>0.16500020250603284</v>
      </c>
      <c r="D5"/>
      <c r="E5" s="24"/>
      <c r="F5" s="17"/>
      <c r="G5" s="17"/>
      <c r="H5" s="16"/>
    </row>
    <row r="6" spans="1:8" s="13" customFormat="1" x14ac:dyDescent="0.25">
      <c r="A6" s="61" t="s">
        <v>86</v>
      </c>
      <c r="B6" s="62"/>
      <c r="C6" s="15">
        <f>SUM(H44)/C16</f>
        <v>0.31899993945482896</v>
      </c>
      <c r="D6"/>
      <c r="E6" s="24"/>
      <c r="F6" s="17"/>
      <c r="G6" s="17"/>
      <c r="H6" s="16"/>
    </row>
    <row r="7" spans="1:8" s="13" customFormat="1" x14ac:dyDescent="0.25">
      <c r="A7" s="65" t="s">
        <v>50</v>
      </c>
      <c r="B7" s="66"/>
      <c r="C7" s="15">
        <f>SUM(H45:H48)/C16</f>
        <v>0.37195697576628162</v>
      </c>
      <c r="D7"/>
      <c r="E7" s="24"/>
      <c r="F7" s="17"/>
      <c r="G7" s="17"/>
      <c r="H7" s="16"/>
    </row>
    <row r="8" spans="1:8" s="13" customFormat="1" x14ac:dyDescent="0.25">
      <c r="A8" s="65" t="s">
        <v>30</v>
      </c>
      <c r="B8" s="66"/>
      <c r="C8" s="15">
        <f>H49/C16</f>
        <v>5.1514181961979143E-3</v>
      </c>
      <c r="D8"/>
      <c r="E8" s="24"/>
      <c r="F8" s="17"/>
      <c r="G8" s="17"/>
      <c r="H8" s="16"/>
    </row>
    <row r="9" spans="1:8" s="13" customFormat="1" x14ac:dyDescent="0.25">
      <c r="A9" s="65" t="s">
        <v>25</v>
      </c>
      <c r="B9" s="66"/>
      <c r="C9" s="15">
        <f>SUM(H52:H61)/C16</f>
        <v>1.3135239880277607</v>
      </c>
      <c r="D9"/>
      <c r="E9" s="24"/>
      <c r="F9" s="17"/>
      <c r="G9" s="17"/>
      <c r="H9" s="16"/>
    </row>
    <row r="10" spans="1:8" s="13" customFormat="1" x14ac:dyDescent="0.25">
      <c r="A10" s="65" t="s">
        <v>26</v>
      </c>
      <c r="B10" s="66"/>
      <c r="C10" s="15">
        <f>SUM(H50:H51)/C16</f>
        <v>1.6007543156656812</v>
      </c>
      <c r="D10"/>
      <c r="E10" s="24"/>
      <c r="F10" s="17"/>
      <c r="G10" s="17"/>
      <c r="H10" s="16"/>
    </row>
    <row r="11" spans="1:8" s="13" customFormat="1" x14ac:dyDescent="0.25">
      <c r="A11" s="65" t="s">
        <v>46</v>
      </c>
      <c r="B11" s="66"/>
      <c r="C11" s="15">
        <f>SUM(H64)/C16</f>
        <v>3.7287973084055293E-2</v>
      </c>
      <c r="D11"/>
      <c r="E11" s="24"/>
      <c r="F11" s="17"/>
      <c r="G11" s="17"/>
      <c r="H11" s="16"/>
    </row>
    <row r="12" spans="1:8" s="13" customFormat="1" ht="27.75" customHeight="1" x14ac:dyDescent="0.25">
      <c r="A12" s="64" t="s">
        <v>44</v>
      </c>
      <c r="B12" s="64"/>
      <c r="C12" s="15">
        <f>SUM(H62:H63)/C16</f>
        <v>0.3377209903908821</v>
      </c>
      <c r="D12" s="23"/>
      <c r="E12" s="16"/>
      <c r="F12" s="17"/>
      <c r="G12" s="17"/>
      <c r="H12" s="16"/>
    </row>
    <row r="13" spans="1:8" s="13" customFormat="1" ht="12.75" x14ac:dyDescent="0.25">
      <c r="A13" s="63" t="s">
        <v>8</v>
      </c>
      <c r="B13" s="63"/>
      <c r="C13" s="18">
        <v>38714896</v>
      </c>
      <c r="D13" s="25"/>
      <c r="E13" s="17"/>
      <c r="F13" s="17"/>
      <c r="G13" s="17"/>
      <c r="H13" s="16"/>
    </row>
    <row r="14" spans="1:8" s="13" customFormat="1" ht="12.75" x14ac:dyDescent="0.25">
      <c r="A14" s="63" t="s">
        <v>6</v>
      </c>
      <c r="B14" s="63"/>
      <c r="C14" s="18">
        <v>0</v>
      </c>
      <c r="F14" s="17"/>
      <c r="H14" s="39"/>
    </row>
    <row r="15" spans="1:8" s="13" customFormat="1" ht="12.75" x14ac:dyDescent="0.25">
      <c r="A15" s="63" t="s">
        <v>7</v>
      </c>
      <c r="B15" s="63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3" t="s">
        <v>9</v>
      </c>
      <c r="B16" s="63"/>
      <c r="C16" s="18">
        <f>C13+C14-C15</f>
        <v>38714896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4" t="s">
        <v>5</v>
      </c>
      <c r="B17" s="64"/>
      <c r="C17" s="11">
        <f t="array" ref="C17">SUM(ABS(Table132[Target allocation ($)]))</f>
        <v>189495787.30553246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0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1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49">
        <v>42.31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($)]]/(IF(G85&gt;0, G72,E72)*C16)*100,3)</f>
        <v>0.252</v>
      </c>
      <c r="H20" s="42">
        <f>Table132[[#This Row],[New position]]*Table132[[#This Row],[Last_Price]]</f>
        <v>537548.55000000005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49">
        <v>200.21</v>
      </c>
      <c r="D21" s="37">
        <v>2743</v>
      </c>
      <c r="E21" s="37">
        <v>2127</v>
      </c>
      <c r="F21" s="36">
        <f>Table132[[#This Row],[New position]]-Table132[[#This Row],[Old position]]</f>
        <v>-616</v>
      </c>
      <c r="G21" s="37">
        <f>ROUND(Table132[[#This Row],[Target allocation ($)]]/(IF(G85&gt;0, G72,E72)*C16)*100,3)</f>
        <v>0.2</v>
      </c>
      <c r="H21" s="42">
        <f>Table132[[#This Row],[New position]]*Table132[[#This Row],[Last_Price]]</f>
        <v>425846.67000000004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35</v>
      </c>
      <c r="B22" s="37" t="s">
        <v>14</v>
      </c>
      <c r="C22" s="49">
        <v>51.05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($)]]/(IF(G85&gt;0, G72,E72)*C16)*100,3)</f>
        <v>0.25600000000000001</v>
      </c>
      <c r="H22" s="42">
        <f>Table132[[#This Row],[New position]]*Table132[[#This Row],[Last_Price]]</f>
        <v>545775.54999999993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49">
        <v>134.5</v>
      </c>
      <c r="D23" s="37">
        <v>3986</v>
      </c>
      <c r="E23" s="37">
        <v>0</v>
      </c>
      <c r="F23" s="36">
        <f>Table132[[#This Row],[New position]]-Table132[[#This Row],[Old position]]</f>
        <v>-3986</v>
      </c>
      <c r="G23" s="37">
        <f>ROUND(Table132[[#This Row],[Target allocation ($)]]/(IF(G85&gt;0, G72,E72)*C16)*100,3)</f>
        <v>0</v>
      </c>
      <c r="H23" s="42">
        <f>Table132[[#This Row],[New position]]*Table132[[#This Row],[Last_Price]]</f>
        <v>0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49">
        <v>218.33</v>
      </c>
      <c r="D24" s="37">
        <v>2537</v>
      </c>
      <c r="E24" s="37">
        <v>1951</v>
      </c>
      <c r="F24" s="36">
        <f>Table132[[#This Row],[New position]]-Table132[[#This Row],[Old position]]</f>
        <v>-586</v>
      </c>
      <c r="G24" s="37">
        <f>ROUND(Table132[[#This Row],[Target allocation ($)]]/(IF(G85&gt;0, G72,E72)*C16)*100,3)</f>
        <v>0.2</v>
      </c>
      <c r="H24" s="42">
        <f>Table132[[#This Row],[New position]]*Table132[[#This Row],[Last_Price]]</f>
        <v>425961.83</v>
      </c>
      <c r="I24" s="52"/>
      <c r="M24"/>
      <c r="N24"/>
      <c r="O24"/>
      <c r="P24"/>
      <c r="Q24"/>
      <c r="R24"/>
    </row>
    <row r="25" spans="1:18" x14ac:dyDescent="0.25">
      <c r="A25" s="37" t="s">
        <v>38</v>
      </c>
      <c r="B25" s="37" t="s">
        <v>14</v>
      </c>
      <c r="C25" s="49">
        <v>2226.25</v>
      </c>
      <c r="D25" s="37">
        <v>246</v>
      </c>
      <c r="E25" s="37">
        <v>191</v>
      </c>
      <c r="F25" s="36">
        <f>Table132[[#This Row],[New position]]-Table132[[#This Row],[Old position]]</f>
        <v>-55</v>
      </c>
      <c r="G25" s="37">
        <f>ROUND(Table132[[#This Row],[Target allocation ($)]]/(IF(G85&gt;0, G72,E72)*C16)*100,3)</f>
        <v>0.2</v>
      </c>
      <c r="H25" s="42">
        <f>Table132[[#This Row],[New position]]*Table132[[#This Row],[Last_Price]]</f>
        <v>425213.75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60</v>
      </c>
      <c r="B26" s="37" t="s">
        <v>14</v>
      </c>
      <c r="C26" s="49">
        <v>194.13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($)]]/(IF(G85&gt;0, G72,E72)*C16)*100,3)</f>
        <v>0.25900000000000001</v>
      </c>
      <c r="H26" s="42">
        <f>Table132[[#This Row],[New position]]*Table132[[#This Row],[Last_Price]]</f>
        <v>551135.06999999995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61</v>
      </c>
      <c r="B27" s="37" t="s">
        <v>14</v>
      </c>
      <c r="C27" s="49">
        <v>369.43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($)]]/(IF(G85&gt;0, G72,E72)*C16)*100,3)</f>
        <v>0.249</v>
      </c>
      <c r="H27" s="42">
        <f>Table132[[#This Row],[New position]]*Table132[[#This Row],[Last_Price]]</f>
        <v>530501.48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62</v>
      </c>
      <c r="B28" s="37" t="s">
        <v>14</v>
      </c>
      <c r="C28" s="49">
        <v>137.29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($)]]/(IF(G85&gt;0, G72,E72)*C16)*100,3)</f>
        <v>0.254</v>
      </c>
      <c r="H28" s="42">
        <f>Table132[[#This Row],[New position]]*Table132[[#This Row],[Last_Price]]</f>
        <v>541609.04999999993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63</v>
      </c>
      <c r="B29" s="37" t="s">
        <v>14</v>
      </c>
      <c r="C29" s="49">
        <v>40.340000000000003</v>
      </c>
      <c r="D29" s="37">
        <v>15018</v>
      </c>
      <c r="E29" s="37">
        <v>10557</v>
      </c>
      <c r="F29" s="36">
        <f>Table132[[#This Row],[New position]]-Table132[[#This Row],[Old position]]</f>
        <v>-4461</v>
      </c>
      <c r="G29" s="37">
        <f>ROUND(Table132[[#This Row],[Target allocation ($)]]/(IF(G85&gt;0, G72,E72)*C16)*100,3)</f>
        <v>0.2</v>
      </c>
      <c r="H29" s="42">
        <f>Table132[[#This Row],[New position]]*Table132[[#This Row],[Last_Price]]</f>
        <v>425869.38000000006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64</v>
      </c>
      <c r="B30" s="37" t="s">
        <v>14</v>
      </c>
      <c r="C30" s="49">
        <v>588.27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($)]]/(IF(G85&gt;0, G72,E72)*C16)*100,3)</f>
        <v>0.253</v>
      </c>
      <c r="H30" s="42">
        <f>Table132[[#This Row],[New position]]*Table132[[#This Row],[Last_Price]]</f>
        <v>537678.78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65</v>
      </c>
      <c r="B31" s="37" t="s">
        <v>14</v>
      </c>
      <c r="C31" s="49">
        <v>110.53</v>
      </c>
      <c r="D31" s="37">
        <v>4440</v>
      </c>
      <c r="E31" s="37">
        <v>0</v>
      </c>
      <c r="F31" s="36">
        <f>Table132[[#This Row],[New position]]-Table132[[#This Row],[Old position]]</f>
        <v>-4440</v>
      </c>
      <c r="G31" s="37">
        <f>ROUND(Table132[[#This Row],[Target allocation ($)]]/(IF(G85&gt;0, G72,E72)*C16)*100,3)</f>
        <v>0</v>
      </c>
      <c r="H31" s="42">
        <f>Table132[[#This Row],[New position]]*Table132[[#This Row],[Last_Price]]</f>
        <v>0</v>
      </c>
      <c r="I31" s="57"/>
      <c r="L31"/>
      <c r="M31"/>
      <c r="N31"/>
      <c r="O31"/>
      <c r="P31"/>
      <c r="Q31"/>
      <c r="R31"/>
    </row>
    <row r="32" spans="1:18" x14ac:dyDescent="0.25">
      <c r="A32" s="37" t="s">
        <v>66</v>
      </c>
      <c r="B32" s="37" t="s">
        <v>14</v>
      </c>
      <c r="C32" s="49">
        <v>119.48</v>
      </c>
      <c r="D32" s="37">
        <v>4511</v>
      </c>
      <c r="E32" s="37">
        <v>4511</v>
      </c>
      <c r="F32" s="36">
        <f>Table132[[#This Row],[New position]]-Table132[[#This Row],[Old position]]</f>
        <v>0</v>
      </c>
      <c r="G32" s="37">
        <f>ROUND(Table132[[#This Row],[Target allocation ($)]]/(IF(G85&gt;0, G72,E72)*C16)*100,3)</f>
        <v>0.253</v>
      </c>
      <c r="H32" s="42">
        <f>Table132[[#This Row],[New position]]*Table132[[#This Row],[Last_Price]]</f>
        <v>538974.28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67</v>
      </c>
      <c r="B33" s="37" t="s">
        <v>14</v>
      </c>
      <c r="C33" s="49">
        <v>698.5</v>
      </c>
      <c r="D33" s="37">
        <v>792</v>
      </c>
      <c r="E33" s="37">
        <v>792</v>
      </c>
      <c r="F33" s="36">
        <f>Table132[[#This Row],[New position]]-Table132[[#This Row],[Old position]]</f>
        <v>0</v>
      </c>
      <c r="G33" s="37">
        <f>ROUND(Table132[[#This Row],[Target allocation ($)]]/(IF(G85&gt;0, G72,E72)*C16)*100,3)</f>
        <v>0.26</v>
      </c>
      <c r="H33" s="42">
        <f>Table132[[#This Row],[New position]]*Table132[[#This Row],[Last_Price]]</f>
        <v>553212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68</v>
      </c>
      <c r="B34" s="37" t="s">
        <v>14</v>
      </c>
      <c r="C34" s="49">
        <v>328.95</v>
      </c>
      <c r="D34" s="37">
        <v>1531</v>
      </c>
      <c r="E34" s="37">
        <v>1531</v>
      </c>
      <c r="F34" s="36">
        <f>Table132[[#This Row],[New position]]-Table132[[#This Row],[Old position]]</f>
        <v>0</v>
      </c>
      <c r="G34" s="37">
        <f>ROUND(Table132[[#This Row],[Target allocation ($)]]/(IF(G85&gt;0, G72,E72)*C16)*100,3)</f>
        <v>0.23699999999999999</v>
      </c>
      <c r="H34" s="42">
        <f>Table132[[#This Row],[New position]]*Table132[[#This Row],[Last_Price]]</f>
        <v>503622.45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69</v>
      </c>
      <c r="B35" s="37" t="s">
        <v>14</v>
      </c>
      <c r="C35" s="49">
        <v>326.17</v>
      </c>
      <c r="D35" s="37">
        <v>1754</v>
      </c>
      <c r="E35" s="37">
        <v>1754</v>
      </c>
      <c r="F35" s="36">
        <f>Table132[[#This Row],[New position]]-Table132[[#This Row],[Old position]]</f>
        <v>0</v>
      </c>
      <c r="G35" s="37">
        <f>ROUND(Table132[[#This Row],[Target allocation ($)]]/(IF(G85&gt;0, G72,E72)*C16)*100,3)</f>
        <v>0.26900000000000002</v>
      </c>
      <c r="H35" s="42">
        <f>Table132[[#This Row],[New position]]*Table132[[#This Row],[Last_Price]]</f>
        <v>572102.18000000005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116.42</v>
      </c>
      <c r="D36" s="37">
        <v>4131</v>
      </c>
      <c r="E36" s="37">
        <v>4131</v>
      </c>
      <c r="F36" s="36">
        <f>Table132[[#This Row],[New position]]-Table132[[#This Row],[Old position]]</f>
        <v>0</v>
      </c>
      <c r="G36" s="37">
        <f>ROUND(Table132[[#This Row],[Target allocation ($)]]/(IF(G85&gt;0, G72,E72)*C16)*100,3)</f>
        <v>0.22600000000000001</v>
      </c>
      <c r="H36" s="42">
        <f>Table132[[#This Row],[New position]]*Table132[[#This Row],[Last_Price]]</f>
        <v>480931.02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77</v>
      </c>
      <c r="B37" s="37" t="s">
        <v>14</v>
      </c>
      <c r="C37" s="49">
        <v>136.34</v>
      </c>
      <c r="D37" s="37">
        <v>3380</v>
      </c>
      <c r="E37" s="37">
        <v>3380</v>
      </c>
      <c r="F37" s="36">
        <f>Table132[[#This Row],[New position]]-Table132[[#This Row],[Old position]]</f>
        <v>0</v>
      </c>
      <c r="G37" s="37">
        <f>ROUND(Table132[[#This Row],[Target allocation ($)]]/(IF(G85&gt;0, G72,E72)*C16)*100,3)</f>
        <v>0.216</v>
      </c>
      <c r="H37" s="42">
        <f>Table132[[#This Row],[New position]]*Table132[[#This Row],[Last_Price]]</f>
        <v>460829.2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79</v>
      </c>
      <c r="B38" s="37" t="s">
        <v>14</v>
      </c>
      <c r="C38" s="49">
        <v>103.88</v>
      </c>
      <c r="D38" s="37">
        <v>4245</v>
      </c>
      <c r="E38" s="37">
        <v>4100</v>
      </c>
      <c r="F38" s="36">
        <f>Table132[[#This Row],[New position]]-Table132[[#This Row],[Old position]]</f>
        <v>-145</v>
      </c>
      <c r="G38" s="37">
        <f>ROUND(Table132[[#This Row],[Target allocation ($)]]/(IF(G85&gt;0, G72,E72)*C16)*100,3)</f>
        <v>0.2</v>
      </c>
      <c r="H38" s="42">
        <f>Table132[[#This Row],[New position]]*Table132[[#This Row],[Last_Price]]</f>
        <v>425908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88</v>
      </c>
      <c r="B39" s="37" t="s">
        <v>14</v>
      </c>
      <c r="C39" s="49">
        <v>11.52</v>
      </c>
      <c r="D39" s="37">
        <v>0</v>
      </c>
      <c r="E39" s="37">
        <v>36967</v>
      </c>
      <c r="F39" s="36">
        <f>Table132[[#This Row],[New position]]-Table132[[#This Row],[Old position]]</f>
        <v>36967</v>
      </c>
      <c r="G39" s="37">
        <f>ROUND(Table132[[#This Row],[Target allocation ($)]]/(IF(G85&gt;0, G72,E72)*C16)*100,3)</f>
        <v>0.2</v>
      </c>
      <c r="H39" s="42">
        <f>Table132[[#This Row],[New position]]*Table132[[#This Row],[Last_Price]]</f>
        <v>425859.83999999997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57</v>
      </c>
      <c r="B40" s="37" t="s">
        <v>14</v>
      </c>
      <c r="C40" s="49">
        <v>161.25</v>
      </c>
      <c r="D40" s="37">
        <v>3335</v>
      </c>
      <c r="E40" s="37">
        <v>3335</v>
      </c>
      <c r="F40" s="36">
        <f>Table132[[#This Row],[New position]]-Table132[[#This Row],[Old position]]</f>
        <v>0</v>
      </c>
      <c r="G40" s="37">
        <f>ROUND(Table132[[#This Row],[Target allocation ($)]]/(IF(G85&gt;0, G72,E72)*C16)*100,3)</f>
        <v>0.253</v>
      </c>
      <c r="H40" s="42">
        <f>Table132[[#This Row],[New position]]*Table132[[#This Row],[Last_Price]]</f>
        <v>537768.75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89</v>
      </c>
      <c r="B41" s="47" t="s">
        <v>14</v>
      </c>
      <c r="C41" s="49">
        <v>23.31</v>
      </c>
      <c r="D41" s="37">
        <v>0</v>
      </c>
      <c r="E41" s="37">
        <v>18270</v>
      </c>
      <c r="F41" s="36">
        <f>Table132[[#This Row],[New position]]-Table132[[#This Row],[Old position]]</f>
        <v>18270</v>
      </c>
      <c r="G41" s="37">
        <f>ROUND(Table132[[#This Row],[Target allocation ($)]]/(IF(G85&gt;0, G72,E72)*C16)*100,3)</f>
        <v>0.2</v>
      </c>
      <c r="H41" s="42">
        <f>Table132[[#This Row],[New position]]*Table132[[#This Row],[Last_Price]]</f>
        <v>425873.69999999995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71</v>
      </c>
      <c r="B42" s="47" t="s">
        <v>14</v>
      </c>
      <c r="C42" s="49">
        <v>185.91</v>
      </c>
      <c r="D42" s="37">
        <v>8339</v>
      </c>
      <c r="E42" s="37">
        <v>0</v>
      </c>
      <c r="F42" s="36">
        <f>Table132[[#This Row],[New position]]-Table132[[#This Row],[Old position]]</f>
        <v>-8339</v>
      </c>
      <c r="G42" s="37">
        <f>ROUND(Table132[[#This Row],[Target allocation ($)]]/(IF(G85&gt;0, G72,E72)*C16)*100,3)</f>
        <v>0</v>
      </c>
      <c r="H42" s="42">
        <f>Table132[[#This Row],[New position]]*Table132[[#This Row],[Last_Price]]</f>
        <v>0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87</v>
      </c>
      <c r="B43" s="47" t="s">
        <v>14</v>
      </c>
      <c r="C43" s="49">
        <v>31.67</v>
      </c>
      <c r="D43" s="37">
        <v>100943</v>
      </c>
      <c r="E43" s="37">
        <v>201704</v>
      </c>
      <c r="F43" s="36">
        <f>Table132[[#This Row],[New position]]-Table132[[#This Row],[Old position]]</f>
        <v>100761</v>
      </c>
      <c r="G43" s="37">
        <f>ROUND(Table132[[#This Row],[Target allocation ($)]]/(IF(G85&gt;0, G72,E72)*C16)*100,3)</f>
        <v>3</v>
      </c>
      <c r="H43" s="42">
        <f>Table132[[#This Row],[New position]]*Table132[[#This Row],[Last_Price]]</f>
        <v>6387965.6800000006</v>
      </c>
      <c r="I43" s="29"/>
      <c r="L43" s="53"/>
      <c r="M43"/>
      <c r="N43"/>
      <c r="O43"/>
      <c r="P43"/>
      <c r="Q43"/>
      <c r="R43"/>
    </row>
    <row r="44" spans="1:18" x14ac:dyDescent="0.25">
      <c r="A44" s="47" t="s">
        <v>58</v>
      </c>
      <c r="B44" s="47" t="s">
        <v>14</v>
      </c>
      <c r="C44" s="49">
        <v>49.08</v>
      </c>
      <c r="D44" s="37">
        <v>215593</v>
      </c>
      <c r="E44" s="37">
        <v>251631</v>
      </c>
      <c r="F44" s="36">
        <f>Table132[[#This Row],[New position]]-Table132[[#This Row],[Old position]]</f>
        <v>36038</v>
      </c>
      <c r="G44" s="37">
        <f>ROUND(Table132[[#This Row],[Target allocation ($)]]/(IF(G85&gt;0, G72,E72)*C16)*100,3)</f>
        <v>5.8</v>
      </c>
      <c r="H44" s="42">
        <f>Table132[[#This Row],[New position]]*Table132[[#This Row],[Last_Price]]</f>
        <v>12350049.48</v>
      </c>
      <c r="I44" s="29"/>
      <c r="L44" s="53"/>
      <c r="M44"/>
      <c r="N44"/>
      <c r="O44"/>
      <c r="P44"/>
      <c r="Q44"/>
      <c r="R44"/>
    </row>
    <row r="45" spans="1:18" x14ac:dyDescent="0.25">
      <c r="A45" s="47" t="s">
        <v>59</v>
      </c>
      <c r="B45" s="47" t="s">
        <v>14</v>
      </c>
      <c r="C45" s="49">
        <v>93.27</v>
      </c>
      <c r="D45" s="37">
        <v>90439</v>
      </c>
      <c r="E45" s="37">
        <v>90439</v>
      </c>
      <c r="F45" s="36">
        <f>Table132[[#This Row],[New position]]-Table132[[#This Row],[Old position]]</f>
        <v>0</v>
      </c>
      <c r="G45" s="37">
        <f>ROUND(Table132[[#This Row],[Target allocation ($)]]/(IF(G85&gt;0, G72,E72)*C16)*100,3)</f>
        <v>3.9609999999999999</v>
      </c>
      <c r="H45" s="42">
        <f>Table132[[#This Row],[New position]]*Table132[[#This Row],[Last_Price]]</f>
        <v>8435245.5299999993</v>
      </c>
      <c r="I45" s="58"/>
      <c r="L45" s="53"/>
      <c r="M45"/>
      <c r="N45"/>
      <c r="O45"/>
      <c r="P45"/>
      <c r="Q45"/>
      <c r="R45"/>
    </row>
    <row r="46" spans="1:18" x14ac:dyDescent="0.25">
      <c r="A46" s="47" t="s">
        <v>81</v>
      </c>
      <c r="B46" s="47" t="s">
        <v>14</v>
      </c>
      <c r="C46" s="49">
        <v>66.209999999999994</v>
      </c>
      <c r="D46" s="37">
        <v>79245</v>
      </c>
      <c r="E46" s="37">
        <v>79245</v>
      </c>
      <c r="F46" s="36">
        <f>Table132[[#This Row],[New position]]-Table132[[#This Row],[Old position]]</f>
        <v>0</v>
      </c>
      <c r="G46" s="37">
        <f>ROUND(Table132[[#This Row],[Target allocation ($)]]/(IF(G85&gt;0, G72,E72)*C16)*100,3)</f>
        <v>2.464</v>
      </c>
      <c r="H46" s="42">
        <f>Table132[[#This Row],[New position]]*Table132[[#This Row],[Last_Price]]</f>
        <v>5246811.4499999993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600519</v>
      </c>
      <c r="B47" s="47" t="s">
        <v>14</v>
      </c>
      <c r="C47" s="49">
        <v>237.53417015341699</v>
      </c>
      <c r="D47" s="37">
        <v>900</v>
      </c>
      <c r="E47" s="37">
        <v>900</v>
      </c>
      <c r="F47" s="36">
        <f>Table132[[#This Row],[New position]]-Table132[[#This Row],[Old position]]</f>
        <v>0</v>
      </c>
      <c r="G47" s="37">
        <f>ROUND(Table132[[#This Row],[Target allocation ($)]]/(IF(G85&gt;0, G72,E72)*C16)*100,3)</f>
        <v>0.1</v>
      </c>
      <c r="H47" s="42">
        <f>Table132[[#This Row],[New position]]*Table132[[#This Row],[Last_Price]]</f>
        <v>213780.75313807529</v>
      </c>
      <c r="I47" s="58"/>
      <c r="L47" s="53"/>
      <c r="M47"/>
      <c r="N47"/>
      <c r="O47"/>
      <c r="P47"/>
      <c r="Q47"/>
      <c r="R47"/>
    </row>
    <row r="48" spans="1:18" x14ac:dyDescent="0.25">
      <c r="A48" s="47">
        <v>700</v>
      </c>
      <c r="B48" s="47" t="s">
        <v>14</v>
      </c>
      <c r="C48" s="49">
        <v>39.103713188220198</v>
      </c>
      <c r="D48" s="37">
        <v>12900</v>
      </c>
      <c r="E48" s="37">
        <v>12900</v>
      </c>
      <c r="F48" s="36">
        <f>Table132[[#This Row],[New position]]-Table132[[#This Row],[Old position]]</f>
        <v>0</v>
      </c>
      <c r="G48" s="37">
        <f>ROUND(Table132[[#This Row],[Target allocation ($)]]/(IF(G85&gt;0, G72,E72)*C16)*100,3)</f>
        <v>0.23699999999999999</v>
      </c>
      <c r="H48" s="42">
        <f>Table132[[#This Row],[New position]]*Table132[[#This Row],[Last_Price]]</f>
        <v>504437.90012804052</v>
      </c>
      <c r="I48" s="58"/>
      <c r="L48" s="53"/>
      <c r="M48"/>
      <c r="N48"/>
      <c r="O48"/>
      <c r="P48"/>
      <c r="Q48"/>
      <c r="R48"/>
    </row>
    <row r="49" spans="1:18" x14ac:dyDescent="0.25">
      <c r="A49" s="47">
        <v>9988</v>
      </c>
      <c r="B49" s="47" t="s">
        <v>14</v>
      </c>
      <c r="C49" s="49">
        <v>9.0653008962868107</v>
      </c>
      <c r="D49" s="37">
        <v>22000</v>
      </c>
      <c r="E49" s="37">
        <v>22000</v>
      </c>
      <c r="F49" s="36">
        <f>Table132[[#This Row],[New position]]-Table132[[#This Row],[Old position]]</f>
        <v>0</v>
      </c>
      <c r="G49" s="37">
        <f>ROUND(Table132[[#This Row],[Target allocation ($)]]/(IF(G85&gt;0, G72,E72)*C16)*100,3)</f>
        <v>9.4E-2</v>
      </c>
      <c r="H49" s="42">
        <f>Table132[[#This Row],[New position]]*Table132[[#This Row],[Last_Price]]</f>
        <v>199436.61971830984</v>
      </c>
      <c r="I49" s="29"/>
      <c r="L49" s="53"/>
      <c r="M49"/>
      <c r="N49"/>
      <c r="O49"/>
      <c r="P49"/>
      <c r="Q49"/>
      <c r="R49"/>
    </row>
    <row r="50" spans="1:18" x14ac:dyDescent="0.25">
      <c r="A50" s="47">
        <v>9888</v>
      </c>
      <c r="B50" s="47" t="s">
        <v>14</v>
      </c>
      <c r="C50" s="49">
        <v>14.2893725992318</v>
      </c>
      <c r="D50" s="37">
        <v>15600</v>
      </c>
      <c r="E50" s="37">
        <v>15600</v>
      </c>
      <c r="F50" s="36">
        <f>Table132[[#This Row],[New position]]-Table132[[#This Row],[Old position]]</f>
        <v>0</v>
      </c>
      <c r="G50" s="37">
        <f>ROUND(Table132[[#This Row],[Target allocation ($)]]/(IF(G85&gt;0, G72,E72)*C16)*100,3)</f>
        <v>0.105</v>
      </c>
      <c r="H50" s="42">
        <f>Table132[[#This Row],[New position]]*Table132[[#This Row],[Last_Price]]</f>
        <v>222914.21254801608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11</v>
      </c>
      <c r="B51" s="47" t="s">
        <v>14</v>
      </c>
      <c r="C51" s="49">
        <v>390.29</v>
      </c>
      <c r="D51" s="37">
        <v>146451</v>
      </c>
      <c r="E51" s="37">
        <v>158216</v>
      </c>
      <c r="F51" s="36">
        <f>Table132[[#This Row],[New position]]-Table132[[#This Row],[Old position]]</f>
        <v>11765</v>
      </c>
      <c r="G51" s="37">
        <f>ROUND(Table132[[#This Row],[Target allocation ($)]]/(IF(G85&gt;0, G72,E72)*C16)*100,3)</f>
        <v>29</v>
      </c>
      <c r="H51" s="42">
        <f>Table132[[#This Row],[New position]]*Table132[[#This Row],[Last_Price]]</f>
        <v>61750122.640000001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34</v>
      </c>
      <c r="B52" s="47" t="s">
        <v>14</v>
      </c>
      <c r="C52" s="49">
        <v>48.47</v>
      </c>
      <c r="D52" s="37">
        <v>27349</v>
      </c>
      <c r="E52" s="37">
        <v>27349</v>
      </c>
      <c r="F52" s="36">
        <f>Table132[[#This Row],[New position]]-Table132[[#This Row],[Old position]]</f>
        <v>0</v>
      </c>
      <c r="G52" s="37">
        <f>ROUND(Table132[[#This Row],[Target allocation ($)]]/(IF(G85&gt;0, G72,E72)*C16)*100,3)</f>
        <v>0.623</v>
      </c>
      <c r="H52" s="42">
        <f>Table132[[#This Row],[New position]]*Table132[[#This Row],[Last_Price]]</f>
        <v>1325606.03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76</v>
      </c>
      <c r="B53" s="47" t="s">
        <v>14</v>
      </c>
      <c r="C53" s="49">
        <v>34.49</v>
      </c>
      <c r="D53" s="37">
        <v>36758</v>
      </c>
      <c r="E53" s="37">
        <v>36758</v>
      </c>
      <c r="F53" s="36">
        <f>Table132[[#This Row],[New position]]-Table132[[#This Row],[Old position]]</f>
        <v>0</v>
      </c>
      <c r="G53" s="37">
        <f>ROUND(Table132[[#This Row],[Target allocation ($)]]/(IF(G85&gt;0, G72,E72)*C16)*100,3)</f>
        <v>0.59499999999999997</v>
      </c>
      <c r="H53" s="42">
        <f>Table132[[#This Row],[New position]]*Table132[[#This Row],[Last_Price]]</f>
        <v>1267783.4200000002</v>
      </c>
      <c r="I53" s="58"/>
      <c r="L53" s="53"/>
      <c r="M53"/>
      <c r="N53"/>
      <c r="O53"/>
      <c r="P53"/>
      <c r="Q53"/>
      <c r="R53"/>
    </row>
    <row r="54" spans="1:18" x14ac:dyDescent="0.25">
      <c r="A54" s="47" t="s">
        <v>51</v>
      </c>
      <c r="B54" s="47" t="s">
        <v>14</v>
      </c>
      <c r="C54" s="49">
        <v>91.54</v>
      </c>
      <c r="D54" s="37">
        <v>23569</v>
      </c>
      <c r="E54" s="37">
        <v>0</v>
      </c>
      <c r="F54" s="36">
        <f>Table132[[#This Row],[New position]]-Table132[[#This Row],[Old position]]</f>
        <v>-23569</v>
      </c>
      <c r="G54" s="37">
        <f>ROUND(Table132[[#This Row],[Target allocation ($)]]/(IF(G85&gt;0, G72,E72)*C16)*100,3)</f>
        <v>0</v>
      </c>
      <c r="H54" s="42">
        <f>Table132[[#This Row],[New position]]*Table132[[#This Row],[Last_Price]]</f>
        <v>0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39</v>
      </c>
      <c r="B55" s="47" t="s">
        <v>14</v>
      </c>
      <c r="C55" s="49">
        <v>79.31</v>
      </c>
      <c r="D55" s="37">
        <v>85245</v>
      </c>
      <c r="E55" s="37">
        <v>85245</v>
      </c>
      <c r="F55" s="36">
        <f>Table132[[#This Row],[New position]]-Table132[[#This Row],[Old position]]</f>
        <v>0</v>
      </c>
      <c r="G55" s="37">
        <f>ROUND(Table132[[#This Row],[Target allocation ($)]]/(IF(G85&gt;0, G72,E72)*C16)*100,3)</f>
        <v>3.1749999999999998</v>
      </c>
      <c r="H55" s="42">
        <f>Table132[[#This Row],[New position]]*Table132[[#This Row],[Last_Price]]</f>
        <v>6760780.9500000002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40</v>
      </c>
      <c r="B56" s="47" t="s">
        <v>14</v>
      </c>
      <c r="C56" s="49">
        <v>69.36</v>
      </c>
      <c r="D56" s="37">
        <v>93682</v>
      </c>
      <c r="E56" s="37">
        <v>93682</v>
      </c>
      <c r="F56" s="36">
        <f>Table132[[#This Row],[New position]]-Table132[[#This Row],[Old position]]</f>
        <v>0</v>
      </c>
      <c r="G56" s="37">
        <f>ROUND(Table132[[#This Row],[Target allocation ($)]]/(IF(G85&gt;0, G72,E72)*C16)*100,3)</f>
        <v>3.052</v>
      </c>
      <c r="H56" s="42">
        <f>Table132[[#This Row],[New position]]*Table132[[#This Row],[Last_Price]]</f>
        <v>6497783.5199999996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52</v>
      </c>
      <c r="B57" s="47" t="s">
        <v>14</v>
      </c>
      <c r="C57" s="49">
        <v>95.1</v>
      </c>
      <c r="D57" s="37">
        <v>69594</v>
      </c>
      <c r="E57" s="37">
        <v>75000</v>
      </c>
      <c r="F57" s="36">
        <f>Table132[[#This Row],[New position]]-Table132[[#This Row],[Old position]]</f>
        <v>5406</v>
      </c>
      <c r="G57" s="37">
        <f>ROUND(Table132[[#This Row],[Target allocation ($)]]/(IF(G85&gt;0, G72,E72)*C16)*100,3)</f>
        <v>3.35</v>
      </c>
      <c r="H57" s="42">
        <f>Table132[[#This Row],[New position]]*Table132[[#This Row],[Last_Price]]</f>
        <v>7132500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53</v>
      </c>
      <c r="B58" s="47" t="s">
        <v>14</v>
      </c>
      <c r="C58" s="49">
        <v>57.96</v>
      </c>
      <c r="D58" s="37">
        <v>116983</v>
      </c>
      <c r="E58" s="37">
        <v>124500</v>
      </c>
      <c r="F58" s="36">
        <f>Table132[[#This Row],[New position]]-Table132[[#This Row],[Old position]]</f>
        <v>7517</v>
      </c>
      <c r="G58" s="37">
        <f>ROUND(Table132[[#This Row],[Target allocation ($)]]/(IF(G85&gt;0, G72,E72)*C16)*100,3)</f>
        <v>3.3889999999999998</v>
      </c>
      <c r="H58" s="42">
        <f>Table132[[#This Row],[New position]]*Table132[[#This Row],[Last_Price]]</f>
        <v>7216020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47</v>
      </c>
      <c r="B59" s="47" t="s">
        <v>14</v>
      </c>
      <c r="C59" s="49">
        <v>286.79000000000002</v>
      </c>
      <c r="D59" s="37">
        <v>24993</v>
      </c>
      <c r="E59" s="37">
        <v>24993</v>
      </c>
      <c r="F59" s="36">
        <f>Table132[[#This Row],[New position]]-Table132[[#This Row],[Old position]]</f>
        <v>0</v>
      </c>
      <c r="G59" s="37">
        <f>ROUND(Table132[[#This Row],[Target allocation ($)]]/(IF(G85&gt;0, G72,E72)*C16)*100,3)</f>
        <v>3.3660000000000001</v>
      </c>
      <c r="H59" s="42">
        <f>Table132[[#This Row],[New position]]*Table132[[#This Row],[Last_Price]]</f>
        <v>7167742.4700000007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48</v>
      </c>
      <c r="B60" s="47" t="s">
        <v>14</v>
      </c>
      <c r="C60" s="49">
        <v>58.65</v>
      </c>
      <c r="D60" s="37">
        <v>122148</v>
      </c>
      <c r="E60" s="37">
        <v>122148</v>
      </c>
      <c r="F60" s="36">
        <f>Table132[[#This Row],[New position]]-Table132[[#This Row],[Old position]]</f>
        <v>0</v>
      </c>
      <c r="G60" s="37">
        <f>ROUND(Table132[[#This Row],[Target allocation ($)]]/(IF(G85&gt;0, G72,E72)*C16)*100,3)</f>
        <v>3.3639999999999999</v>
      </c>
      <c r="H60" s="42">
        <f>Table132[[#This Row],[New position]]*Table132[[#This Row],[Last_Price]]</f>
        <v>7163980.2000000002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72</v>
      </c>
      <c r="B61" s="47" t="s">
        <v>14</v>
      </c>
      <c r="C61" s="49">
        <v>480.3</v>
      </c>
      <c r="D61" s="37">
        <v>13160</v>
      </c>
      <c r="E61" s="37">
        <v>13160</v>
      </c>
      <c r="F61" s="36">
        <f>Table132[[#This Row],[New position]]-Table132[[#This Row],[Old position]]</f>
        <v>0</v>
      </c>
      <c r="G61" s="37">
        <f>ROUND(Table132[[#This Row],[Target allocation ($)]]/(IF(G85&gt;0, G72,E72)*C16)*100,3)</f>
        <v>2.968</v>
      </c>
      <c r="H61" s="42">
        <f>Table132[[#This Row],[New position]]*Table132[[#This Row],[Last_Price]]</f>
        <v>6320748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73</v>
      </c>
      <c r="B62" s="47" t="s">
        <v>14</v>
      </c>
      <c r="C62" s="49">
        <v>107.94</v>
      </c>
      <c r="D62" s="37">
        <v>62683</v>
      </c>
      <c r="E62" s="37">
        <v>62683</v>
      </c>
      <c r="F62" s="36">
        <f>Table132[[#This Row],[New position]]-Table132[[#This Row],[Old position]]</f>
        <v>0</v>
      </c>
      <c r="G62" s="37">
        <f>ROUND(Table132[[#This Row],[Target allocation ($)]]/(IF(G85&gt;0, G72,E72)*C16)*100,3)</f>
        <v>3.1779999999999999</v>
      </c>
      <c r="H62" s="42">
        <f>Table132[[#This Row],[New position]]*Table132[[#This Row],[Last_Price]]</f>
        <v>6766003.0199999996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90</v>
      </c>
      <c r="B63" s="47" t="s">
        <v>14</v>
      </c>
      <c r="C63" s="49">
        <v>76.010000000000005</v>
      </c>
      <c r="D63" s="37">
        <v>0</v>
      </c>
      <c r="E63" s="37">
        <v>83000</v>
      </c>
      <c r="F63" s="36">
        <f>Table132[[#This Row],[New position]]-Table132[[#This Row],[Old position]]</f>
        <v>83000</v>
      </c>
      <c r="G63" s="37">
        <f>ROUND(Table132[[#This Row],[Target allocation ($)]]/(IF(G85&gt;0, G72,E72)*C16)*100,3)</f>
        <v>2.9630000000000001</v>
      </c>
      <c r="H63" s="42">
        <f>Table132[[#This Row],[New position]]*Table132[[#This Row],[Last_Price]]</f>
        <v>6308830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74</v>
      </c>
      <c r="B64" s="47" t="s">
        <v>14</v>
      </c>
      <c r="C64" s="49">
        <v>40.1</v>
      </c>
      <c r="D64" s="37">
        <v>36000</v>
      </c>
      <c r="E64" s="37">
        <v>36000</v>
      </c>
      <c r="F64" s="36">
        <f>Table132[[#This Row],[New position]]-Table132[[#This Row],[Old position]]</f>
        <v>0</v>
      </c>
      <c r="G64" s="37">
        <f>ROUND(Table132[[#This Row],[Target allocation ($)]]/(IF(G85&gt;0, G72,E72)*C16)*100,3)</f>
        <v>0.67800000000000005</v>
      </c>
      <c r="H64" s="42">
        <f>Table132[[#This Row],[New position]]*Table132[[#This Row],[Last_Price]]</f>
        <v>1443600</v>
      </c>
      <c r="I64" s="29"/>
      <c r="L64" s="53"/>
      <c r="M64"/>
      <c r="N64"/>
      <c r="O64"/>
      <c r="P64"/>
      <c r="Q64"/>
      <c r="R64"/>
    </row>
    <row r="65" spans="1:18" x14ac:dyDescent="0.25">
      <c r="A65" s="67" t="s">
        <v>75</v>
      </c>
      <c r="B65" s="67" t="s">
        <v>14</v>
      </c>
      <c r="C65" s="49">
        <v>135.75</v>
      </c>
      <c r="D65" s="37">
        <v>12200</v>
      </c>
      <c r="E65" s="37">
        <v>12200</v>
      </c>
      <c r="F65" s="36">
        <f>Table132[[#This Row],[New position]]-Table132[[#This Row],[Old position]]</f>
        <v>0</v>
      </c>
      <c r="G65" s="70">
        <f>ROUND(Table132[[#This Row],[Target allocation ($)]]/(IF(G85&gt;0, G72,E72)*C16)*100,3)</f>
        <v>0.77800000000000002</v>
      </c>
      <c r="H65" s="42">
        <f>Table132[[#This Row],[New position]]*Table132[[#This Row],[Last_Price]]</f>
        <v>1656150</v>
      </c>
      <c r="I65" s="58"/>
      <c r="L65" s="53"/>
      <c r="M65"/>
      <c r="N65"/>
      <c r="O65"/>
      <c r="P65"/>
      <c r="Q65"/>
      <c r="R65"/>
    </row>
    <row r="66" spans="1:18" x14ac:dyDescent="0.25">
      <c r="A66" s="67" t="s">
        <v>78</v>
      </c>
      <c r="B66" s="67" t="s">
        <v>14</v>
      </c>
      <c r="C66" s="49">
        <v>188.18</v>
      </c>
      <c r="D66" s="37">
        <v>91855</v>
      </c>
      <c r="E66" s="37">
        <v>91855</v>
      </c>
      <c r="F66" s="36">
        <f>Table132[[#This Row],[New position]]-Table132[[#This Row],[Old position]]</f>
        <v>0</v>
      </c>
      <c r="G66" s="70">
        <f>ROUND(Table132[[#This Row],[Target allocation ($)]]/(IF(G85&gt;0, G72,E72)*C16)*100,3)</f>
        <v>8.1180000000000003</v>
      </c>
      <c r="H66" s="42">
        <f>Table132[[#This Row],[New position]]*Table132[[#This Row],[Last_Price]]</f>
        <v>17285273.900000002</v>
      </c>
      <c r="I66" s="58"/>
      <c r="L66" s="53"/>
      <c r="M66"/>
      <c r="N66"/>
      <c r="O66"/>
      <c r="P66"/>
      <c r="Q66"/>
      <c r="R66"/>
    </row>
    <row r="67" spans="1:18" x14ac:dyDescent="0.25">
      <c r="A67" s="67"/>
      <c r="B67" s="67"/>
      <c r="C67" s="68"/>
      <c r="D67" s="38"/>
      <c r="E67" s="69"/>
      <c r="F67" s="34"/>
      <c r="G67" s="70"/>
      <c r="H67" s="49"/>
      <c r="I67" s="58"/>
      <c r="L67" s="53"/>
      <c r="M67"/>
      <c r="N67"/>
      <c r="O67"/>
      <c r="P67"/>
      <c r="Q67"/>
      <c r="R67"/>
    </row>
    <row r="68" spans="1:18" x14ac:dyDescent="0.25">
      <c r="A68" s="67"/>
      <c r="B68" s="67"/>
      <c r="C68" s="68"/>
      <c r="D68" s="38"/>
      <c r="E68" s="69"/>
      <c r="F68" s="34"/>
      <c r="G68" s="70"/>
      <c r="H68" s="49"/>
      <c r="I68" s="58"/>
      <c r="L68" s="53"/>
      <c r="M68"/>
      <c r="N68"/>
      <c r="O68"/>
      <c r="P68"/>
      <c r="Q68"/>
      <c r="R68"/>
    </row>
    <row r="69" spans="1:18" x14ac:dyDescent="0.25">
      <c r="A69" s="47"/>
      <c r="B69" s="47"/>
      <c r="C69" s="49"/>
      <c r="D69" s="37"/>
      <c r="E69" s="37"/>
      <c r="F69" s="36"/>
      <c r="G69" s="37"/>
      <c r="H69" s="49"/>
      <c r="I69" s="58"/>
      <c r="L69" s="53"/>
      <c r="M69"/>
      <c r="N69"/>
      <c r="O69"/>
      <c r="P69"/>
      <c r="Q69"/>
      <c r="R69"/>
    </row>
    <row r="70" spans="1:18" x14ac:dyDescent="0.25">
      <c r="A70" s="47"/>
      <c r="B70" s="47"/>
      <c r="C70" s="49"/>
      <c r="D70" s="37"/>
      <c r="E70" s="37"/>
      <c r="F70" s="34"/>
      <c r="G70" s="37"/>
      <c r="H70" s="49"/>
      <c r="I70" s="51"/>
      <c r="L70"/>
      <c r="M70"/>
      <c r="N70"/>
      <c r="O70"/>
      <c r="P70"/>
      <c r="Q70"/>
      <c r="R70"/>
    </row>
    <row r="71" spans="1:18" x14ac:dyDescent="0.25">
      <c r="A71" s="47" t="s">
        <v>56</v>
      </c>
      <c r="B71" s="47"/>
      <c r="C71" s="48"/>
      <c r="D71" s="38"/>
      <c r="E71" s="59" t="s">
        <v>54</v>
      </c>
      <c r="F71" s="34"/>
      <c r="G71" s="60" t="s">
        <v>55</v>
      </c>
      <c r="H71" s="49"/>
      <c r="I71" s="51"/>
      <c r="L71"/>
      <c r="M71"/>
      <c r="N71"/>
      <c r="O71"/>
      <c r="P71"/>
      <c r="Q71"/>
      <c r="R71"/>
    </row>
    <row r="72" spans="1:18" ht="30" x14ac:dyDescent="0.25">
      <c r="A72" s="47" t="s">
        <v>32</v>
      </c>
      <c r="B72" s="47"/>
      <c r="C72" s="48"/>
      <c r="D72" s="38"/>
      <c r="E72" s="37">
        <f xml:space="preserve"> IF(G85&gt;0, (C17+ABS(G85*G72))/C13, C17/C13)</f>
        <v>5.4672533430026524</v>
      </c>
      <c r="F72" s="34"/>
      <c r="G72" s="37">
        <v>5.5</v>
      </c>
      <c r="H72" s="49"/>
      <c r="I72" s="51"/>
      <c r="L72"/>
      <c r="M72"/>
      <c r="N72"/>
      <c r="O72"/>
      <c r="P72"/>
      <c r="Q72"/>
      <c r="R72"/>
    </row>
    <row r="73" spans="1:18" ht="15" customHeight="1" x14ac:dyDescent="0.25">
      <c r="A73" s="37" t="s">
        <v>41</v>
      </c>
      <c r="B73" s="37"/>
      <c r="C73" s="37"/>
      <c r="D73" s="50" t="str">
        <f>Table132[[#This Row],[Symbol]]</f>
        <v>SingleStocks</v>
      </c>
      <c r="E73" s="37">
        <f>ROUND(SUM(G20:G39)/100, 3)</f>
        <v>4.2000000000000003E-2</v>
      </c>
      <c r="F73" s="50" t="str">
        <f>Table132[[#This Row],[Symbol]]</f>
        <v>SingleStocks</v>
      </c>
      <c r="G73" s="37">
        <f>SUM(H20:H39)/(G72*C16)</f>
        <v>4.1837685703949488E-2</v>
      </c>
      <c r="H73" s="37"/>
      <c r="I73" s="30"/>
      <c r="L73"/>
      <c r="M73"/>
      <c r="N73"/>
      <c r="O73"/>
      <c r="P73"/>
      <c r="Q73"/>
      <c r="R73"/>
    </row>
    <row r="74" spans="1:18" ht="15" customHeight="1" x14ac:dyDescent="0.25">
      <c r="A74" s="67" t="s">
        <v>91</v>
      </c>
      <c r="B74" s="67"/>
      <c r="C74" s="68"/>
      <c r="D74" s="38"/>
      <c r="E74" s="37">
        <f>ROUND(SUM(G40:G41)/100, 3)</f>
        <v>5.0000000000000001E-3</v>
      </c>
      <c r="F74" s="50" t="str">
        <f>Table132[[#This Row],[Symbol]]</f>
        <v>Semicondutor</v>
      </c>
      <c r="G74" s="37">
        <f>SUM(H40:H41)/(G72*C16)</f>
        <v>4.5255892765879617E-3</v>
      </c>
      <c r="H74" s="49"/>
      <c r="I74" s="57"/>
      <c r="L74"/>
      <c r="M74"/>
      <c r="N74"/>
      <c r="O74"/>
      <c r="P74"/>
      <c r="Q74"/>
      <c r="R74"/>
    </row>
    <row r="75" spans="1:18" ht="15.75" customHeight="1" x14ac:dyDescent="0.25">
      <c r="A75" s="47" t="s">
        <v>84</v>
      </c>
      <c r="B75" s="47"/>
      <c r="C75" s="48"/>
      <c r="D75" s="38"/>
      <c r="E75" s="56">
        <f>ROUND(SUM(G42:G43)/100, 3)</f>
        <v>0.03</v>
      </c>
      <c r="F75" s="50" t="str">
        <f>Table132[[#This Row],[Symbol]]</f>
        <v>Russel</v>
      </c>
      <c r="G75" s="56">
        <f>SUM(H42:H43)/(G72*C16)</f>
        <v>3.0000036819278698E-2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82</v>
      </c>
      <c r="B76" s="47"/>
      <c r="C76" s="48"/>
      <c r="D76" s="38"/>
      <c r="E76" s="37">
        <f>ROUND(SUM(G44:G45)/100, 3)</f>
        <v>9.8000000000000004E-2</v>
      </c>
      <c r="F76" s="50" t="str">
        <f>Table132[[#This Row],[Symbol]]</f>
        <v>S&amp;P</v>
      </c>
      <c r="G76" s="37">
        <f>SUM(H44:H45)/(G72*C16)</f>
        <v>9.7614741035923921E-2</v>
      </c>
      <c r="H76" s="49"/>
      <c r="I76" s="57"/>
      <c r="L76"/>
      <c r="M76"/>
      <c r="N76"/>
      <c r="O76"/>
      <c r="P76"/>
      <c r="Q76"/>
      <c r="R76"/>
    </row>
    <row r="77" spans="1:18" ht="15.75" customHeight="1" x14ac:dyDescent="0.25">
      <c r="A77" s="47" t="s">
        <v>83</v>
      </c>
      <c r="B77" s="47"/>
      <c r="C77" s="48"/>
      <c r="D77" s="38"/>
      <c r="E77" s="37">
        <f>ROUND(SUM(G46)/100, 3)</f>
        <v>2.5000000000000001E-2</v>
      </c>
      <c r="F77" s="50" t="str">
        <f>Table132[[#This Row],[Symbol]]</f>
        <v>Dow Jones</v>
      </c>
      <c r="G77" s="37">
        <f>SUM(H46)/(G72*C16)</f>
        <v>2.4640792478993565E-2</v>
      </c>
      <c r="H77" s="49"/>
      <c r="I77" s="57"/>
      <c r="L77"/>
      <c r="M77"/>
      <c r="N77"/>
      <c r="O77"/>
      <c r="P77"/>
      <c r="Q77"/>
      <c r="R77"/>
    </row>
    <row r="78" spans="1:18" ht="14.25" customHeight="1" x14ac:dyDescent="0.25">
      <c r="A78" s="47" t="s">
        <v>49</v>
      </c>
      <c r="B78" s="47"/>
      <c r="C78" s="48"/>
      <c r="D78" s="38"/>
      <c r="E78" s="37">
        <f>ROUND(SUM(G47:G50)/100, 3)</f>
        <v>5.0000000000000001E-3</v>
      </c>
      <c r="F78" s="50" t="str">
        <f>Table132[[#This Row],[Symbol]]</f>
        <v>International Stocks</v>
      </c>
      <c r="G78" s="37">
        <f>SUM(H47:H50)/(G72*C16)</f>
        <v>5.3564981834590894E-3</v>
      </c>
      <c r="H78" s="49"/>
      <c r="I78" s="57"/>
      <c r="L78"/>
      <c r="M78"/>
      <c r="N78"/>
      <c r="O78"/>
      <c r="P78"/>
      <c r="Q78"/>
      <c r="R78"/>
    </row>
    <row r="79" spans="1:18" ht="15.75" customHeight="1" x14ac:dyDescent="0.25">
      <c r="A79" s="47" t="s">
        <v>11</v>
      </c>
      <c r="B79" s="47"/>
      <c r="C79" s="48"/>
      <c r="D79" s="50" t="str">
        <f>Table132[[#This Row],[Symbol]]</f>
        <v>QQQ</v>
      </c>
      <c r="E79" s="56">
        <f>ROUND(SUM(G51)/100, 3)</f>
        <v>0.28999999999999998</v>
      </c>
      <c r="F79" s="50" t="str">
        <f>Table132[[#This Row],[Symbol]]</f>
        <v>QQQ</v>
      </c>
      <c r="G79" s="56">
        <f>SUM(H51)/(G72*C16)</f>
        <v>0.28999935904398516</v>
      </c>
      <c r="H79" s="49"/>
      <c r="I79" s="30"/>
      <c r="L79"/>
      <c r="M79"/>
      <c r="N79"/>
      <c r="O79"/>
      <c r="P79"/>
      <c r="Q79"/>
      <c r="R79"/>
    </row>
    <row r="80" spans="1:18" ht="14.25" customHeight="1" x14ac:dyDescent="0.25">
      <c r="A80" s="37" t="s">
        <v>27</v>
      </c>
      <c r="B80" s="47"/>
      <c r="C80" s="48"/>
      <c r="D80" s="50" t="str">
        <f>Table132[[#This Row],[Symbol]]</f>
        <v>Bonds</v>
      </c>
      <c r="E80" s="56">
        <f>ROUND(SUM(G54:G63)/100, 3)</f>
        <v>0.28799999999999998</v>
      </c>
      <c r="F80" s="50" t="str">
        <f>Table132[[#This Row],[Symbol]]</f>
        <v>Bonds</v>
      </c>
      <c r="G80" s="56">
        <f>SUM(H53:H63)/(G72*C16)</f>
        <v>0.2940008676387883</v>
      </c>
      <c r="H80" s="49"/>
      <c r="I80" s="30"/>
      <c r="L80"/>
      <c r="M80"/>
      <c r="N80"/>
      <c r="O80"/>
      <c r="P80"/>
      <c r="Q80"/>
      <c r="R80"/>
    </row>
    <row r="81" spans="1:18" ht="14.25" customHeight="1" x14ac:dyDescent="0.25">
      <c r="A81" s="47" t="s">
        <v>43</v>
      </c>
      <c r="B81" s="37"/>
      <c r="C81" s="37"/>
      <c r="D81" s="50" t="str">
        <f>Table132[[#This Row],[Symbol]]</f>
        <v>Gold</v>
      </c>
      <c r="E81" s="37">
        <f>ROUND(SUM(G66)/100,3)</f>
        <v>8.1000000000000003E-2</v>
      </c>
      <c r="F81" s="50" t="str">
        <f>Table132[[#This Row],[Symbol]]</f>
        <v>Gold</v>
      </c>
      <c r="G81" s="37">
        <f>SUM(H66)/(G72*C16)</f>
        <v>8.117746390762029E-2</v>
      </c>
      <c r="H81" s="37"/>
      <c r="I81" s="31"/>
      <c r="L81"/>
      <c r="M81"/>
      <c r="N81"/>
      <c r="O81"/>
      <c r="P81"/>
      <c r="Q81"/>
      <c r="R81"/>
    </row>
    <row r="82" spans="1:18" ht="15" customHeight="1" x14ac:dyDescent="0.25">
      <c r="A82" s="37" t="s">
        <v>28</v>
      </c>
      <c r="B82" s="37"/>
      <c r="C82" s="37"/>
      <c r="D82" s="50" t="str">
        <f>Table132[[#This Row],[Symbol]]</f>
        <v>Commodities</v>
      </c>
      <c r="E82" s="37">
        <f>ROUND(SUM(G52:G53)/100,3)</f>
        <v>1.2E-2</v>
      </c>
      <c r="F82" s="50" t="str">
        <f>Table132[[#This Row],[Symbol]]</f>
        <v>Commodities</v>
      </c>
      <c r="G82" s="37">
        <f>SUM(H52:H53)/(G72*C16)</f>
        <v>1.2179429709573664E-2</v>
      </c>
      <c r="H82" s="37"/>
      <c r="I82" s="32"/>
      <c r="L82"/>
      <c r="M82"/>
      <c r="N82"/>
      <c r="O82"/>
      <c r="P82"/>
      <c r="Q82"/>
      <c r="R82"/>
    </row>
    <row r="83" spans="1:18" ht="14.25" customHeight="1" x14ac:dyDescent="0.25">
      <c r="A83" s="47" t="s">
        <v>42</v>
      </c>
      <c r="B83" s="47"/>
      <c r="C83" s="48"/>
      <c r="D83" s="50" t="str">
        <f>Table132[[#This Row],[Symbol]]</f>
        <v>Crypto</v>
      </c>
      <c r="E83" s="56">
        <f>ROUND(SUM(G64:G65)/100,3)</f>
        <v>1.4999999999999999E-2</v>
      </c>
      <c r="F83" s="50" t="str">
        <f>Table132[[#This Row],[Symbol]]</f>
        <v>Crypto</v>
      </c>
      <c r="G83" s="56">
        <f>SUM(H64:H65)/(G72*C16)</f>
        <v>1.4557469277223659E-2</v>
      </c>
      <c r="H83" s="49"/>
      <c r="I83" s="55"/>
      <c r="L83"/>
      <c r="M83"/>
      <c r="N83"/>
      <c r="O83"/>
      <c r="P83"/>
      <c r="Q83"/>
      <c r="R83"/>
    </row>
    <row r="84" spans="1:18" ht="14.25" customHeight="1" x14ac:dyDescent="0.25">
      <c r="A84" s="37" t="s">
        <v>23</v>
      </c>
      <c r="B84" s="37"/>
      <c r="C84" s="37"/>
      <c r="D84" s="50" t="str">
        <f>Table132[[#This Row],[Symbol]]</f>
        <v>Cash</v>
      </c>
      <c r="E84" s="37">
        <f>1-SUM(E73:E83)</f>
        <v>0.1090000000000001</v>
      </c>
      <c r="F84" s="50" t="str">
        <f>Table132[[#This Row],[Symbol]]</f>
        <v>Cash</v>
      </c>
      <c r="G84" s="37">
        <f>1-SUM(G73:G83)</f>
        <v>0.10411006692461622</v>
      </c>
      <c r="H84" s="37"/>
      <c r="I84" s="30"/>
      <c r="L84"/>
      <c r="M84"/>
      <c r="N84"/>
      <c r="O84"/>
      <c r="P84"/>
      <c r="Q84"/>
      <c r="R84"/>
    </row>
    <row r="85" spans="1:18" x14ac:dyDescent="0.25">
      <c r="A85" s="27" t="s">
        <v>29</v>
      </c>
      <c r="B85" s="27"/>
      <c r="C85" s="35"/>
      <c r="D85" s="34"/>
      <c r="E85" s="27">
        <f>C16*E84</f>
        <v>4219923.6640000036</v>
      </c>
      <c r="F85" s="34"/>
      <c r="G85" s="37">
        <f>C16*G84</f>
        <v>4030610.4135395568</v>
      </c>
      <c r="H85" s="42"/>
      <c r="I85" s="33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27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7"/>
      <c r="B87" s="27"/>
      <c r="C87" s="35"/>
      <c r="D87" s="27"/>
      <c r="E87" s="27"/>
      <c r="F87" s="34"/>
      <c r="G87" s="37"/>
      <c r="H87" s="42"/>
      <c r="I87" s="30"/>
      <c r="L87"/>
      <c r="M87"/>
      <c r="N87"/>
      <c r="O87"/>
      <c r="P87"/>
      <c r="Q87"/>
      <c r="R87"/>
    </row>
    <row r="88" spans="1:18" x14ac:dyDescent="0.25">
      <c r="A88" s="27"/>
      <c r="B88" s="27"/>
      <c r="C88" s="35"/>
      <c r="D88" s="27"/>
      <c r="E88" s="27"/>
      <c r="F88" s="34"/>
      <c r="G88" s="37"/>
      <c r="H88" s="42"/>
      <c r="I88" s="30"/>
      <c r="L88"/>
      <c r="M88"/>
      <c r="N88"/>
      <c r="O88"/>
      <c r="P88"/>
      <c r="Q88"/>
      <c r="R88"/>
    </row>
    <row r="89" spans="1:18" x14ac:dyDescent="0.25">
      <c r="A89" s="21"/>
      <c r="B89" s="5" t="s">
        <v>21</v>
      </c>
      <c r="D89" s="1"/>
      <c r="E89" s="5" t="s">
        <v>20</v>
      </c>
      <c r="F89" s="1"/>
      <c r="G89" s="5"/>
      <c r="H89" s="43" t="s">
        <v>2</v>
      </c>
      <c r="I89" s="4"/>
      <c r="L89"/>
      <c r="M89"/>
      <c r="N89"/>
      <c r="O89"/>
      <c r="P89"/>
      <c r="Q89"/>
      <c r="R89"/>
    </row>
    <row r="90" spans="1:18" x14ac:dyDescent="0.25">
      <c r="B90" s="5" t="s">
        <v>24</v>
      </c>
      <c r="D90" s="1"/>
      <c r="E90" s="5" t="s">
        <v>24</v>
      </c>
      <c r="F90" s="1"/>
      <c r="G90" s="5"/>
      <c r="H90" s="43" t="s">
        <v>3</v>
      </c>
      <c r="L90"/>
      <c r="M90"/>
      <c r="N90"/>
      <c r="O90"/>
      <c r="P90"/>
      <c r="Q90"/>
      <c r="R90"/>
    </row>
    <row r="91" spans="1:18" x14ac:dyDescent="0.25">
      <c r="B91" s="3"/>
      <c r="C91"/>
      <c r="D91" s="1"/>
      <c r="E91" s="3"/>
      <c r="F91" s="20"/>
      <c r="G91" s="3"/>
      <c r="H91" s="44"/>
      <c r="L91"/>
      <c r="M91"/>
      <c r="N91"/>
      <c r="O91"/>
      <c r="P91"/>
      <c r="Q91"/>
      <c r="R91"/>
    </row>
    <row r="92" spans="1:18" x14ac:dyDescent="0.25">
      <c r="C92"/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  <row r="95" spans="1:18" x14ac:dyDescent="0.25">
      <c r="L95"/>
      <c r="M95"/>
      <c r="N95"/>
      <c r="O95"/>
      <c r="P95"/>
      <c r="Q95"/>
      <c r="R95"/>
    </row>
    <row r="96" spans="1:18" x14ac:dyDescent="0.25">
      <c r="L96"/>
      <c r="M96"/>
      <c r="N96"/>
      <c r="O96"/>
      <c r="P96"/>
      <c r="Q96"/>
      <c r="R96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2023-12-08T11:06:57Z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