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229" documentId="14_{A48F4B07-3EF3-43E5-91B2-4CA340E6013A}" xr6:coauthVersionLast="47" xr6:coauthVersionMax="47" xr10:uidLastSave="{C6F6A8D7-D4E6-4429-823E-4A289076BAB3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" i="3" l="1"/>
  <c r="D82" i="3"/>
  <c r="D81" i="3"/>
  <c r="D80" i="3"/>
  <c r="D79" i="3"/>
  <c r="D78" i="3"/>
  <c r="D77" i="3"/>
  <c r="D76" i="3"/>
  <c r="D75" i="3"/>
  <c r="D74" i="3"/>
  <c r="D73" i="3"/>
  <c r="D72" i="3"/>
  <c r="D71" i="3"/>
  <c r="F76" i="3"/>
  <c r="F74" i="3"/>
  <c r="F73" i="3"/>
  <c r="F72" i="3"/>
  <c r="F71" i="3"/>
  <c r="F78" i="3"/>
  <c r="F48" i="3"/>
  <c r="F49" i="3"/>
  <c r="H63" i="3" l="1"/>
  <c r="H64" i="3"/>
  <c r="F62" i="3"/>
  <c r="F63" i="3"/>
  <c r="F64" i="3"/>
  <c r="F22" i="3"/>
  <c r="H22" i="3"/>
  <c r="F23" i="3"/>
  <c r="H23" i="3"/>
  <c r="F24" i="3"/>
  <c r="H24" i="3"/>
  <c r="F25" i="3"/>
  <c r="H25" i="3"/>
  <c r="H62" i="3" l="1"/>
  <c r="F75" i="3" l="1"/>
  <c r="F77" i="3"/>
  <c r="F79" i="3"/>
  <c r="F80" i="3"/>
  <c r="F81" i="3"/>
  <c r="F82" i="3"/>
  <c r="F83" i="3"/>
  <c r="H61" i="3"/>
  <c r="F61" i="3"/>
  <c r="H43" i="3" l="1"/>
  <c r="H60" i="3"/>
  <c r="F60" i="3" l="1"/>
  <c r="H42" i="3" l="1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F42" i="3"/>
  <c r="F43" i="3"/>
  <c r="F44" i="3"/>
  <c r="F45" i="3"/>
  <c r="F46" i="3"/>
  <c r="F47" i="3"/>
  <c r="F50" i="3"/>
  <c r="F51" i="3"/>
  <c r="F52" i="3"/>
  <c r="F53" i="3"/>
  <c r="F54" i="3"/>
  <c r="F55" i="3"/>
  <c r="F56" i="3"/>
  <c r="F57" i="3"/>
  <c r="F58" i="3"/>
  <c r="F59" i="3"/>
  <c r="F34" i="3" l="1"/>
  <c r="F35" i="3"/>
  <c r="F36" i="3"/>
  <c r="F37" i="3"/>
  <c r="F38" i="3"/>
  <c r="F39" i="3"/>
  <c r="F40" i="3"/>
  <c r="F41" i="3"/>
  <c r="H40" i="3"/>
  <c r="H41" i="3"/>
  <c r="H34" i="3" l="1"/>
  <c r="H35" i="3"/>
  <c r="H38" i="3" l="1"/>
  <c r="H39" i="3"/>
  <c r="H32" i="3"/>
  <c r="H37" i="3"/>
  <c r="H33" i="3" l="1"/>
  <c r="H31" i="3" l="1"/>
  <c r="H30" i="3"/>
  <c r="H29" i="3"/>
  <c r="H36" i="3"/>
  <c r="H26" i="3" l="1"/>
  <c r="H27" i="3"/>
  <c r="H28" i="3"/>
  <c r="C19" i="3" l="1" a="1"/>
  <c r="C19" i="3" s="1"/>
  <c r="C10" i="3" s="1"/>
  <c r="F31" i="3"/>
  <c r="F29" i="3"/>
  <c r="F33" i="3"/>
  <c r="F26" i="3" l="1"/>
  <c r="F27" i="3"/>
  <c r="F28" i="3"/>
  <c r="F30" i="3"/>
  <c r="F32" i="3"/>
  <c r="C18" i="3"/>
  <c r="C13" i="3" l="1"/>
  <c r="G80" i="3"/>
  <c r="C14" i="3"/>
  <c r="G82" i="3"/>
  <c r="C7" i="3"/>
  <c r="G79" i="3"/>
  <c r="C12" i="3"/>
  <c r="G81" i="3"/>
  <c r="C8" i="3"/>
  <c r="G78" i="3"/>
  <c r="C9" i="3"/>
  <c r="G77" i="3"/>
  <c r="C11" i="3"/>
  <c r="C5" i="3"/>
  <c r="C6" i="3"/>
  <c r="C4" i="3"/>
  <c r="C3" i="3"/>
  <c r="G75" i="3"/>
  <c r="G76" i="3"/>
  <c r="G74" i="3"/>
  <c r="G73" i="3"/>
  <c r="G72" i="3"/>
  <c r="G71" i="3"/>
  <c r="C2" i="3"/>
  <c r="G83" i="3" l="1"/>
  <c r="G84" i="3" s="1"/>
  <c r="E70" i="3" l="1"/>
  <c r="G47" i="3" s="1"/>
  <c r="G63" i="3" l="1"/>
  <c r="G26" i="3"/>
  <c r="G64" i="3"/>
  <c r="E80" i="3" s="1"/>
  <c r="G23" i="3"/>
  <c r="G25" i="3"/>
  <c r="G22" i="3"/>
  <c r="G24" i="3"/>
  <c r="G62" i="3"/>
  <c r="G61" i="3"/>
  <c r="G59" i="3"/>
  <c r="G48" i="3"/>
  <c r="G49" i="3"/>
  <c r="G40" i="3"/>
  <c r="E73" i="3" s="1"/>
  <c r="G60" i="3"/>
  <c r="G55" i="3"/>
  <c r="G52" i="3"/>
  <c r="G56" i="3"/>
  <c r="G41" i="3"/>
  <c r="G54" i="3"/>
  <c r="G42" i="3"/>
  <c r="G34" i="3"/>
  <c r="G39" i="3"/>
  <c r="G46" i="3"/>
  <c r="G44" i="3"/>
  <c r="G50" i="3"/>
  <c r="E78" i="3" s="1"/>
  <c r="G51" i="3"/>
  <c r="G57" i="3"/>
  <c r="G43" i="3"/>
  <c r="E75" i="3" s="1"/>
  <c r="G58" i="3"/>
  <c r="G35" i="3"/>
  <c r="G45" i="3"/>
  <c r="G31" i="3"/>
  <c r="G53" i="3"/>
  <c r="G27" i="3"/>
  <c r="G28" i="3"/>
  <c r="G33" i="3"/>
  <c r="G37" i="3"/>
  <c r="G36" i="3"/>
  <c r="G29" i="3"/>
  <c r="G32" i="3"/>
  <c r="G38" i="3"/>
  <c r="G30" i="3"/>
  <c r="E72" i="3" l="1"/>
  <c r="E82" i="3"/>
  <c r="E81" i="3"/>
  <c r="E76" i="3"/>
  <c r="E71" i="3"/>
  <c r="E77" i="3"/>
  <c r="E74" i="3"/>
  <c r="E79" i="3"/>
  <c r="E83" i="3" s="1"/>
  <c r="E84" i="3" s="1"/>
</calcChain>
</file>

<file path=xl/sharedStrings.xml><?xml version="1.0" encoding="utf-8"?>
<sst xmlns="http://schemas.openxmlformats.org/spreadsheetml/2006/main" count="135" uniqueCount="91">
  <si>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</si>
  <si>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</si>
  <si>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</si>
  <si>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</si>
  <si>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</si>
  <si>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</si>
  <si>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</si>
  <si>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</si>
  <si>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</si>
  <si>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</si>
  <si>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</si>
  <si>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</si>
  <si>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</si>
  <si>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</si>
  <si>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</si>
  <si>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</si>
  <si>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</si>
  <si>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</si>
  <si>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</si>
  <si>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</si>
  <si>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</si>
  <si>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</si>
  <si>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</si>
  <si>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</si>
  <si>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</si>
  <si>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</si>
  <si>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</si>
  <si>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</si>
  <si>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</si>
  <si>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</si>
  <si>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</si>
  <si>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</si>
  <si>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</si>
  <si>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</si>
  <si>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</si>
  <si>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</si>
  <si>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</si>
  <si>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</si>
  <si>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</si>
  <si>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</si>
  <si>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</si>
  <si>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</si>
  <si>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</si>
  <si>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</si>
  <si>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</si>
  <si>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</si>
  <si>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</si>
  <si>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</si>
  <si>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</si>
  <si>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</si>
  <si>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</si>
  <si>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SMH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</si>
  <si>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</si>
  <si>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</si>
  <si>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</si>
  <si>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</si>
  <si>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</si>
  <si>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</si>
  <si>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</si>
  <si>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</si>
  <si>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</si>
  <si>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</si>
  <si>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</si>
  <si>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</si>
  <si>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</si>
  <si>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</si>
  <si>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</si>
  <si>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</si>
  <si>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</si>
  <si>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</si>
  <si>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</si>
  <si>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</si>
  <si>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</si>
  <si>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</si>
  <si>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</si>
  <si>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</si>
  <si>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</si>
  <si>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</si>
  <si>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</si>
  <si>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HOOD</t>
  </si>
  <si>
    <t>SOXL</t>
  </si>
  <si>
    <t>Leverage for Semiconductor</t>
  </si>
  <si>
    <t>USHY</t>
  </si>
  <si>
    <t>TQQQ</t>
  </si>
  <si>
    <t>DPST</t>
  </si>
  <si>
    <t>Leverage for Small Bank ETF</t>
  </si>
  <si>
    <t>Int Stocks</t>
  </si>
  <si>
    <t>Semiconductor</t>
  </si>
  <si>
    <t>Small Cap</t>
  </si>
  <si>
    <t>Regional Bank</t>
  </si>
  <si>
    <t>Only complete half of the order due to low trading volume, and will continue closing the position on the following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</si>
</sst>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/>
    </xf>
    <xf numFmtId="1" fontId="0" fillId="2" borderId="1" xfId="5" applyNumberFormat="1" applyFon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Sheet1!$D$71:$D$83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Sheet1!$E$71:$E$83</c:f>
              <c:numCache>
                <c:formatCode>General</c:formatCode>
                <c:ptCount val="13"/>
                <c:pt idx="0">
                  <c:v>2.5000000000000001E-2</c:v>
                </c:pt>
                <c:pt idx="1">
                  <c:v>1.7999999999999999E-2</c:v>
                </c:pt>
                <c:pt idx="2">
                  <c:v>7.0000000000000007E-2</c:v>
                </c:pt>
                <c:pt idx="3">
                  <c:v>8.2000000000000003E-2</c:v>
                </c:pt>
                <c:pt idx="4">
                  <c:v>2.1000000000000001E-2</c:v>
                </c:pt>
                <c:pt idx="5">
                  <c:v>4.0000000000000001E-3</c:v>
                </c:pt>
                <c:pt idx="6">
                  <c:v>0.27500000000000002</c:v>
                </c:pt>
                <c:pt idx="7">
                  <c:v>0.01</c:v>
                </c:pt>
                <c:pt idx="8">
                  <c:v>0.33600000000000002</c:v>
                </c:pt>
                <c:pt idx="9">
                  <c:v>3.6999999999999998E-2</c:v>
                </c:pt>
                <c:pt idx="10">
                  <c:v>5.0000000000000001E-3</c:v>
                </c:pt>
                <c:pt idx="11">
                  <c:v>8.0000000000000002E-3</c:v>
                </c:pt>
                <c:pt idx="12">
                  <c:v>0.10899999999999999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7" totalsRowShown="0" headerRowDxfId="13" dataDxfId="11" headerRowBorderDxfId="12" tableBorderDxfId="10" totalsRowBorderDxfId="9">
  <autoFilter ref="A21:I87" xr:uid="{00000000-0009-0000-0100-000001000000}"/>
  <sortState xmlns:xlrd2="http://schemas.microsoft.com/office/spreadsheetml/2017/richdata2" ref="A22:I86">
    <sortCondition ref="A21:A8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5"/>
  <sheetViews>
    <sheetView tabSelected="1" topLeftCell="A28" zoomScale="115" zoomScaleNormal="115" workbookViewId="0">
      <selection activeCell="C52" sqref="C52:H5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4" t="s">
        <v>0</v>
      </c>
      <c r="B1" s="64"/>
      <c r="C1" s="12">
        <v>45275</v>
      </c>
      <c r="E1" s="14"/>
      <c r="F1" s="14"/>
      <c r="G1" s="46"/>
      <c r="H1" s="14"/>
    </row>
    <row r="2" spans="1:8" s="13" customFormat="1" x14ac:dyDescent="0.25">
      <c r="A2" s="64" t="s">
        <v>10</v>
      </c>
      <c r="B2" s="64"/>
      <c r="C2" s="15">
        <f>C19/C18</f>
        <v>4.9039153617829685</v>
      </c>
      <c r="D2"/>
      <c r="E2" s="24"/>
      <c r="F2" s="17"/>
      <c r="G2" s="17"/>
      <c r="H2" s="16"/>
    </row>
    <row r="3" spans="1:8" s="13" customFormat="1" x14ac:dyDescent="0.25">
      <c r="A3" s="66" t="s">
        <v>42</v>
      </c>
      <c r="B3" s="67"/>
      <c r="C3" s="15">
        <f>SUM(H22:H38)/C18</f>
        <v>0.13692507162956849</v>
      </c>
      <c r="D3"/>
      <c r="E3" s="24"/>
      <c r="F3" s="17"/>
      <c r="G3" s="17"/>
      <c r="H3" s="16"/>
    </row>
    <row r="4" spans="1:8" s="13" customFormat="1" x14ac:dyDescent="0.25">
      <c r="A4" s="61" t="s">
        <v>81</v>
      </c>
      <c r="B4" s="62"/>
      <c r="C4" s="15">
        <f>SUM(H38:H39)/C18</f>
        <v>9.8999823688071184E-2</v>
      </c>
      <c r="D4"/>
      <c r="E4" s="24"/>
      <c r="F4" s="17"/>
      <c r="G4" s="17"/>
      <c r="H4" s="16"/>
    </row>
    <row r="5" spans="1:8" s="13" customFormat="1" x14ac:dyDescent="0.25">
      <c r="A5" s="66" t="s">
        <v>76</v>
      </c>
      <c r="B5" s="67"/>
      <c r="C5" s="15">
        <f>SUM(H40)/C18</f>
        <v>0.38499976220371801</v>
      </c>
      <c r="D5"/>
      <c r="E5" s="24"/>
      <c r="F5" s="17"/>
      <c r="G5" s="17"/>
      <c r="H5" s="16"/>
    </row>
    <row r="6" spans="1:8" s="13" customFormat="1" x14ac:dyDescent="0.25">
      <c r="A6" s="61" t="s">
        <v>72</v>
      </c>
      <c r="B6" s="62"/>
      <c r="C6" s="15">
        <f>SUM(H41:H42)/C18</f>
        <v>0.45165899462505138</v>
      </c>
      <c r="D6"/>
      <c r="E6" s="24"/>
      <c r="F6" s="17"/>
      <c r="G6" s="17"/>
      <c r="H6" s="16"/>
    </row>
    <row r="7" spans="1:8" s="13" customFormat="1" x14ac:dyDescent="0.25">
      <c r="A7" s="61" t="s">
        <v>77</v>
      </c>
      <c r="B7" s="62"/>
      <c r="C7" s="15">
        <f>SUM(H43)/C18</f>
        <v>0.11465038826160698</v>
      </c>
      <c r="D7"/>
      <c r="E7" s="24"/>
      <c r="F7" s="17"/>
      <c r="G7" s="17"/>
      <c r="H7" s="16"/>
    </row>
    <row r="8" spans="1:8" s="13" customFormat="1" x14ac:dyDescent="0.25">
      <c r="A8" s="66" t="s">
        <v>46</v>
      </c>
      <c r="B8" s="67"/>
      <c r="C8" s="15">
        <f>SUM(H44:H47)/C18</f>
        <v>2.2797579610740772E-2</v>
      </c>
      <c r="D8"/>
      <c r="E8" s="24"/>
      <c r="F8" s="17"/>
      <c r="G8" s="17"/>
      <c r="H8" s="16"/>
    </row>
    <row r="9" spans="1:8" s="13" customFormat="1" x14ac:dyDescent="0.25">
      <c r="A9" s="66" t="s">
        <v>30</v>
      </c>
      <c r="B9" s="67"/>
      <c r="C9" s="15">
        <f>SUM(H48:H49)/C18</f>
        <v>1.5151610467148566</v>
      </c>
      <c r="D9"/>
      <c r="E9" s="24"/>
      <c r="F9" s="17"/>
      <c r="G9" s="17"/>
      <c r="H9" s="16"/>
    </row>
    <row r="10" spans="1:8" s="13" customFormat="1" x14ac:dyDescent="0.25">
      <c r="A10" s="61" t="s">
        <v>85</v>
      </c>
      <c r="B10" s="62"/>
      <c r="C10" s="15">
        <f>SUM(H50)/C19</f>
        <v>1.1215703313185459E-2</v>
      </c>
      <c r="D10"/>
      <c r="E10" s="24"/>
      <c r="F10" s="17"/>
      <c r="G10" s="17"/>
      <c r="H10" s="16"/>
    </row>
    <row r="11" spans="1:8" s="13" customFormat="1" x14ac:dyDescent="0.25">
      <c r="A11" s="66" t="s">
        <v>25</v>
      </c>
      <c r="B11" s="67"/>
      <c r="C11" s="15">
        <f>SUM(H53:H61)/C18</f>
        <v>1.8497450035495131</v>
      </c>
      <c r="D11"/>
      <c r="E11" s="24"/>
      <c r="F11" s="17"/>
      <c r="G11" s="17"/>
      <c r="H11" s="16"/>
    </row>
    <row r="12" spans="1:8" s="13" customFormat="1" x14ac:dyDescent="0.25">
      <c r="A12" s="66" t="s">
        <v>26</v>
      </c>
      <c r="B12" s="67"/>
      <c r="C12" s="15">
        <f>SUM(H51:H52)/C18</f>
        <v>2.6409426288193764E-2</v>
      </c>
      <c r="D12"/>
      <c r="E12" s="24"/>
      <c r="F12" s="17"/>
      <c r="G12" s="17"/>
      <c r="H12" s="16"/>
    </row>
    <row r="13" spans="1:8" s="13" customFormat="1" x14ac:dyDescent="0.25">
      <c r="A13" s="66" t="s">
        <v>43</v>
      </c>
      <c r="B13" s="67"/>
      <c r="C13" s="15">
        <f>SUM(H64)/C18</f>
        <v>0.2035010367264225</v>
      </c>
      <c r="D13"/>
      <c r="E13" s="24"/>
      <c r="F13" s="17"/>
      <c r="G13" s="17"/>
      <c r="H13" s="16"/>
    </row>
    <row r="14" spans="1:8" s="13" customFormat="1" ht="27.75" customHeight="1" x14ac:dyDescent="0.25">
      <c r="A14" s="65" t="s">
        <v>41</v>
      </c>
      <c r="B14" s="65"/>
      <c r="C14" s="15">
        <f>SUM(H62:H63)/C18</f>
        <v>4.4066368714495083E-2</v>
      </c>
      <c r="D14" s="23"/>
      <c r="E14" s="16"/>
      <c r="F14" s="17"/>
      <c r="G14" s="17"/>
      <c r="H14" s="16"/>
    </row>
    <row r="15" spans="1:8" s="13" customFormat="1" ht="12.75" x14ac:dyDescent="0.25">
      <c r="A15" s="64" t="s">
        <v>8</v>
      </c>
      <c r="B15" s="64"/>
      <c r="C15" s="18">
        <v>50484389</v>
      </c>
      <c r="D15" s="25"/>
      <c r="E15" s="17"/>
      <c r="F15" s="17"/>
      <c r="G15" s="17"/>
      <c r="H15" s="16"/>
    </row>
    <row r="16" spans="1:8" s="13" customFormat="1" ht="12.75" x14ac:dyDescent="0.25">
      <c r="A16" s="64" t="s">
        <v>6</v>
      </c>
      <c r="B16" s="64"/>
      <c r="C16" s="18">
        <v>0</v>
      </c>
      <c r="F16" s="17"/>
      <c r="H16" s="39"/>
    </row>
    <row r="17" spans="1:18" s="13" customFormat="1" ht="12.75" x14ac:dyDescent="0.25">
      <c r="A17" s="64" t="s">
        <v>7</v>
      </c>
      <c r="B17" s="64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4" t="s">
        <v>9</v>
      </c>
      <c r="B18" s="64"/>
      <c r="C18" s="18">
        <f>C15+C16-C17</f>
        <v>50484389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5" t="s">
        <v>5</v>
      </c>
      <c r="B19" s="65"/>
      <c r="C19" s="11">
        <f t="array" ref="C19">SUM(ABS(Table132[Target allocation ($)]))</f>
        <v>247571170.74732712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44.89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($)]]/(IF(G84&gt;0, G70,E70)*C18)*100,3)</f>
        <v>0.20499999999999999</v>
      </c>
      <c r="H22" s="42">
        <f>Table132[[#This Row],[New position]]*Table132[[#This Row],[Last_Price]]</f>
        <v>570327.44999999995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201.75</v>
      </c>
      <c r="D23" s="37">
        <v>1702</v>
      </c>
      <c r="E23" s="37">
        <v>1361</v>
      </c>
      <c r="F23" s="36">
        <f>Table132[[#This Row],[New position]]-Table132[[#This Row],[Old position]]</f>
        <v>-341</v>
      </c>
      <c r="G23" s="37">
        <f>ROUND(Table132[[#This Row],[Target allocation ($)]]/(IF(G84&gt;0, G70,E70)*C18)*100,3)</f>
        <v>9.9000000000000005E-2</v>
      </c>
      <c r="H23" s="42">
        <f>Table132[[#This Row],[New position]]*Table132[[#This Row],[Last_Price]]</f>
        <v>274581.75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2277.5300000000002</v>
      </c>
      <c r="D24" s="37">
        <v>153</v>
      </c>
      <c r="E24" s="37">
        <v>122</v>
      </c>
      <c r="F24" s="36">
        <f>Table132[[#This Row],[New position]]-Table132[[#This Row],[Old position]]</f>
        <v>-31</v>
      </c>
      <c r="G24" s="37">
        <f>ROUND(Table132[[#This Row],[Target allocation ($)]]/(IF(G84&gt;0, G70,E70)*C18)*100,3)</f>
        <v>0.1</v>
      </c>
      <c r="H24" s="42">
        <f>Table132[[#This Row],[New position]]*Table132[[#This Row],[Last_Price]]</f>
        <v>277858.66000000003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54</v>
      </c>
      <c r="B25" s="37" t="s">
        <v>14</v>
      </c>
      <c r="C25" s="49">
        <v>198.27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($)]]/(IF(G84&gt;0, G70,E70)*C18)*100,3)</f>
        <v>0.20300000000000001</v>
      </c>
      <c r="H25" s="42">
        <f>Table132[[#This Row],[New position]]*Table132[[#This Row],[Last_Price]]</f>
        <v>562888.53</v>
      </c>
      <c r="I25" s="52"/>
      <c r="M25"/>
      <c r="N25"/>
      <c r="O25"/>
      <c r="P25"/>
      <c r="Q25"/>
      <c r="R25"/>
    </row>
    <row r="26" spans="1:18" x14ac:dyDescent="0.25">
      <c r="A26" s="37" t="s">
        <v>55</v>
      </c>
      <c r="B26" s="37" t="s">
        <v>14</v>
      </c>
      <c r="C26" s="49">
        <v>367.68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($)]]/(IF(G84&gt;0, G70,E70)*C18)*100,3)</f>
        <v>0.19</v>
      </c>
      <c r="H26" s="42">
        <f>Table132[[#This Row],[New position]]*Table132[[#This Row],[Last_Price]]</f>
        <v>527988.47999999998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56</v>
      </c>
      <c r="B27" s="37" t="s">
        <v>14</v>
      </c>
      <c r="C27" s="49">
        <v>132.41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($)]]/(IF(G84&gt;0, G70,E70)*C18)*100,3)</f>
        <v>0.188</v>
      </c>
      <c r="H27" s="42">
        <f>Table132[[#This Row],[New position]]*Table132[[#This Row],[Last_Price]]</f>
        <v>522357.45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57</v>
      </c>
      <c r="B28" s="37" t="s">
        <v>14</v>
      </c>
      <c r="C28" s="49">
        <v>42.79</v>
      </c>
      <c r="D28" s="37">
        <v>8446</v>
      </c>
      <c r="E28" s="37">
        <v>6756</v>
      </c>
      <c r="F28" s="36">
        <f>Table132[[#This Row],[New position]]-Table132[[#This Row],[Old position]]</f>
        <v>-1690</v>
      </c>
      <c r="G28" s="37">
        <f>ROUND(Table132[[#This Row],[Target allocation ($)]]/(IF(G84&gt;0, G70,E70)*C18)*100,3)</f>
        <v>0.104</v>
      </c>
      <c r="H28" s="42">
        <f>Table132[[#This Row],[New position]]*Table132[[#This Row],[Last_Price]]</f>
        <v>289089.24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58</v>
      </c>
      <c r="B29" s="37" t="s">
        <v>14</v>
      </c>
      <c r="C29" s="49">
        <v>573.45000000000005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($)]]/(IF(G84&gt;0, G70,E70)*C18)*100,3)</f>
        <v>0.189</v>
      </c>
      <c r="H29" s="42">
        <f>Table132[[#This Row],[New position]]*Table132[[#This Row],[Last_Price]]</f>
        <v>524133.30000000005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59</v>
      </c>
      <c r="B30" s="37" t="s">
        <v>14</v>
      </c>
      <c r="C30" s="49">
        <v>123</v>
      </c>
      <c r="D30" s="37">
        <v>3609</v>
      </c>
      <c r="E30" s="37">
        <v>3609</v>
      </c>
      <c r="F30" s="36">
        <f>Table132[[#This Row],[New position]]-Table132[[#This Row],[Old position]]</f>
        <v>0</v>
      </c>
      <c r="G30" s="37">
        <f>ROUND(Table132[[#This Row],[Target allocation ($)]]/(IF(G84&gt;0, G70,E70)*C18)*100,3)</f>
        <v>0.16</v>
      </c>
      <c r="H30" s="42">
        <f>Table132[[#This Row],[New position]]*Table132[[#This Row],[Last_Price]]</f>
        <v>443907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60</v>
      </c>
      <c r="B31" s="37" t="s">
        <v>14</v>
      </c>
      <c r="C31" s="49">
        <v>758.52</v>
      </c>
      <c r="D31" s="37">
        <v>615</v>
      </c>
      <c r="E31" s="37">
        <v>492</v>
      </c>
      <c r="F31" s="36">
        <f>Table132[[#This Row],[New position]]-Table132[[#This Row],[Old position]]</f>
        <v>-123</v>
      </c>
      <c r="G31" s="37">
        <f>ROUND(Table132[[#This Row],[Target allocation ($)]]/(IF(G84&gt;0, G70,E70)*C18)*100,3)</f>
        <v>0.13400000000000001</v>
      </c>
      <c r="H31" s="42">
        <f>Table132[[#This Row],[New position]]*Table132[[#This Row],[Last_Price]]</f>
        <v>373191.83999999997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61</v>
      </c>
      <c r="B32" s="37" t="s">
        <v>14</v>
      </c>
      <c r="C32" s="49">
        <v>331.54</v>
      </c>
      <c r="D32" s="37">
        <v>1531</v>
      </c>
      <c r="E32" s="37">
        <v>1531</v>
      </c>
      <c r="F32" s="36">
        <f>Table132[[#This Row],[New position]]-Table132[[#This Row],[Old position]]</f>
        <v>0</v>
      </c>
      <c r="G32" s="37">
        <f>ROUND(Table132[[#This Row],[Target allocation ($)]]/(IF(G84&gt;0, G70,E70)*C18)*100,3)</f>
        <v>0.183</v>
      </c>
      <c r="H32" s="42">
        <f>Table132[[#This Row],[New position]]*Table132[[#This Row],[Last_Price]]</f>
        <v>507587.74000000005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62</v>
      </c>
      <c r="B33" s="37" t="s">
        <v>14</v>
      </c>
      <c r="C33" s="49">
        <v>352.27</v>
      </c>
      <c r="D33" s="37">
        <v>1326</v>
      </c>
      <c r="E33" s="37">
        <v>1326</v>
      </c>
      <c r="F33" s="36">
        <f>Table132[[#This Row],[New position]]-Table132[[#This Row],[Old position]]</f>
        <v>0</v>
      </c>
      <c r="G33" s="37">
        <f>ROUND(Table132[[#This Row],[Target allocation ($)]]/(IF(G84&gt;0, G70,E70)*C18)*100,3)</f>
        <v>0.16800000000000001</v>
      </c>
      <c r="H33" s="42">
        <f>Table132[[#This Row],[New position]]*Table132[[#This Row],[Last_Price]]</f>
        <v>467110.01999999996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63</v>
      </c>
      <c r="B34" s="37" t="s">
        <v>14</v>
      </c>
      <c r="C34" s="49">
        <v>136.41999999999999</v>
      </c>
      <c r="D34" s="37">
        <v>4131</v>
      </c>
      <c r="E34" s="37">
        <v>3304</v>
      </c>
      <c r="F34" s="36">
        <f>Table132[[#This Row],[New position]]-Table132[[#This Row],[Old position]]</f>
        <v>-827</v>
      </c>
      <c r="G34" s="37">
        <f>ROUND(Table132[[#This Row],[Target allocation ($)]]/(IF(G84&gt;0, G70,E70)*C18)*100,3)</f>
        <v>0.16200000000000001</v>
      </c>
      <c r="H34" s="42">
        <f>Table132[[#This Row],[New position]]*Table132[[#This Row],[Last_Price]]</f>
        <v>450731.67999999993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69</v>
      </c>
      <c r="B35" s="37" t="s">
        <v>14</v>
      </c>
      <c r="C35" s="49">
        <v>152.79</v>
      </c>
      <c r="D35" s="37">
        <v>2704</v>
      </c>
      <c r="E35" s="37">
        <v>2704</v>
      </c>
      <c r="F35" s="36">
        <f>Table132[[#This Row],[New position]]-Table132[[#This Row],[Old position]]</f>
        <v>0</v>
      </c>
      <c r="G35" s="37">
        <f>ROUND(Table132[[#This Row],[Target allocation ($)]]/(IF(G84&gt;0, G70,E70)*C18)*100,3)</f>
        <v>0.14899999999999999</v>
      </c>
      <c r="H35" s="42">
        <f>Table132[[#This Row],[New position]]*Table132[[#This Row],[Last_Price]]</f>
        <v>413144.16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71</v>
      </c>
      <c r="B36" s="37" t="s">
        <v>14</v>
      </c>
      <c r="C36" s="49">
        <v>106.12</v>
      </c>
      <c r="D36" s="37">
        <v>3280</v>
      </c>
      <c r="E36" s="37">
        <v>3280</v>
      </c>
      <c r="F36" s="36">
        <f>Table132[[#This Row],[New position]]-Table132[[#This Row],[Old position]]</f>
        <v>0</v>
      </c>
      <c r="G36" s="37">
        <f>ROUND(Table132[[#This Row],[Target allocation ($)]]/(IF(G84&gt;0, G70,E70)*C18)*100,3)</f>
        <v>0.125</v>
      </c>
      <c r="H36" s="42">
        <f>Table132[[#This Row],[New position]]*Table132[[#This Row],[Last_Price]]</f>
        <v>348073.60000000003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79</v>
      </c>
      <c r="B37" s="37" t="s">
        <v>14</v>
      </c>
      <c r="C37" s="49">
        <v>12.16</v>
      </c>
      <c r="D37" s="37">
        <v>36967</v>
      </c>
      <c r="E37" s="37">
        <v>29573</v>
      </c>
      <c r="F37" s="36">
        <f>Table132[[#This Row],[New position]]-Table132[[#This Row],[Old position]]</f>
        <v>-7394</v>
      </c>
      <c r="G37" s="37">
        <f>ROUND(Table132[[#This Row],[Target allocation ($)]]/(IF(G84&gt;0, G70,E70)*C18)*100,3)</f>
        <v>0.13</v>
      </c>
      <c r="H37" s="42">
        <f>Table132[[#This Row],[New position]]*Table132[[#This Row],[Last_Price]]</f>
        <v>359607.68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51</v>
      </c>
      <c r="B38" s="37" t="s">
        <v>14</v>
      </c>
      <c r="C38" s="49">
        <v>173.9</v>
      </c>
      <c r="D38" s="37">
        <v>3335</v>
      </c>
      <c r="E38" s="37">
        <v>0</v>
      </c>
      <c r="F38" s="36">
        <f>Table132[[#This Row],[New position]]-Table132[[#This Row],[Old position]]</f>
        <v>-3335</v>
      </c>
      <c r="G38" s="37">
        <f>ROUND(Table132[[#This Row],[Target allocation ($)]]/(IF(G84&gt;0, G70,E70)*C18)*100,3)</f>
        <v>0</v>
      </c>
      <c r="H38" s="42">
        <f>Table132[[#This Row],[New position]]*Table132[[#This Row],[Last_Price]]</f>
        <v>0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80</v>
      </c>
      <c r="B39" s="37" t="s">
        <v>14</v>
      </c>
      <c r="C39" s="49">
        <v>30.87</v>
      </c>
      <c r="D39" s="37">
        <v>141700</v>
      </c>
      <c r="E39" s="37">
        <v>161903</v>
      </c>
      <c r="F39" s="36">
        <f>Table132[[#This Row],[New position]]-Table132[[#This Row],[Old position]]</f>
        <v>20203</v>
      </c>
      <c r="G39" s="37">
        <f>ROUND(Table132[[#This Row],[Target allocation ($)]]/(IF(G84&gt;0, G70,E70)*C18)*100,3)</f>
        <v>1.8</v>
      </c>
      <c r="H39" s="42">
        <f>Table132[[#This Row],[New position]]*Table132[[#This Row],[Last_Price]]</f>
        <v>4997945.6100000003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78</v>
      </c>
      <c r="B40" s="37" t="s">
        <v>14</v>
      </c>
      <c r="C40" s="49">
        <v>39.479999999999997</v>
      </c>
      <c r="D40" s="37">
        <v>399200</v>
      </c>
      <c r="E40" s="37">
        <v>492312</v>
      </c>
      <c r="F40" s="36">
        <f>Table132[[#This Row],[New position]]-Table132[[#This Row],[Old position]]</f>
        <v>93112</v>
      </c>
      <c r="G40" s="37">
        <f>ROUND(Table132[[#This Row],[Target allocation ($)]]/(IF(G84&gt;0, G70,E70)*C18)*100,3)</f>
        <v>7</v>
      </c>
      <c r="H40" s="42">
        <f>Table132[[#This Row],[New position]]*Table132[[#This Row],[Last_Price]]</f>
        <v>19436477.759999998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52</v>
      </c>
      <c r="B41" s="47" t="s">
        <v>14</v>
      </c>
      <c r="C41" s="49">
        <v>53.83</v>
      </c>
      <c r="D41" s="37">
        <v>251631</v>
      </c>
      <c r="E41" s="37">
        <v>251631</v>
      </c>
      <c r="F41" s="36">
        <f>Table132[[#This Row],[New position]]-Table132[[#This Row],[Old position]]</f>
        <v>0</v>
      </c>
      <c r="G41" s="37">
        <f>ROUND(Table132[[#This Row],[Target allocation ($)]]/(IF(G84&gt;0, G70,E70)*C18)*100,3)</f>
        <v>4.8780000000000001</v>
      </c>
      <c r="H41" s="42">
        <f>Table132[[#This Row],[New position]]*Table132[[#This Row],[Last_Price]]</f>
        <v>13545296.73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53</v>
      </c>
      <c r="B42" s="47" t="s">
        <v>14</v>
      </c>
      <c r="C42" s="49">
        <v>102.35</v>
      </c>
      <c r="D42" s="37">
        <v>90439</v>
      </c>
      <c r="E42" s="37">
        <v>90439</v>
      </c>
      <c r="F42" s="36">
        <f>Table132[[#This Row],[New position]]-Table132[[#This Row],[Old position]]</f>
        <v>0</v>
      </c>
      <c r="G42" s="37">
        <f>ROUND(Table132[[#This Row],[Target allocation ($)]]/(IF(G84&gt;0, G70,E70)*C18)*100,3)</f>
        <v>3.3340000000000001</v>
      </c>
      <c r="H42" s="42">
        <f>Table132[[#This Row],[New position]]*Table132[[#This Row],[Last_Price]]</f>
        <v>9256431.6500000004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73</v>
      </c>
      <c r="B43" s="47" t="s">
        <v>14</v>
      </c>
      <c r="C43" s="49">
        <v>73.040000000000006</v>
      </c>
      <c r="D43" s="37">
        <v>79245</v>
      </c>
      <c r="E43" s="37">
        <v>79245</v>
      </c>
      <c r="F43" s="36">
        <f>Table132[[#This Row],[New position]]-Table132[[#This Row],[Old position]]</f>
        <v>0</v>
      </c>
      <c r="G43" s="37">
        <f>ROUND(Table132[[#This Row],[Target allocation ($)]]/(IF(G84&gt;0, G70,E70)*C18)*100,3)</f>
        <v>2.085</v>
      </c>
      <c r="H43" s="42">
        <f>Table132[[#This Row],[New position]]*Table132[[#This Row],[Last_Price]]</f>
        <v>5788054.8000000007</v>
      </c>
      <c r="I43" s="29"/>
      <c r="L43" s="53"/>
      <c r="M43"/>
      <c r="N43"/>
      <c r="O43"/>
      <c r="P43"/>
      <c r="Q43"/>
      <c r="R43"/>
    </row>
    <row r="44" spans="1:18" x14ac:dyDescent="0.25">
      <c r="A44" s="47">
        <v>600519</v>
      </c>
      <c r="B44" s="47" t="s">
        <v>14</v>
      </c>
      <c r="C44" s="49">
        <v>229.85913528591399</v>
      </c>
      <c r="D44" s="37">
        <v>900</v>
      </c>
      <c r="E44" s="37">
        <v>900</v>
      </c>
      <c r="F44" s="36">
        <f>Table132[[#This Row],[New position]]-Table132[[#This Row],[Old position]]</f>
        <v>0</v>
      </c>
      <c r="G44" s="37">
        <f>ROUND(Table132[[#This Row],[Target allocation ($)]]/(IF(G84&gt;0, G70,E70)*C18)*100,3)</f>
        <v>7.4999999999999997E-2</v>
      </c>
      <c r="H44" s="42">
        <f>Table132[[#This Row],[New position]]*Table132[[#This Row],[Last_Price]]</f>
        <v>206873.22175732261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700</v>
      </c>
      <c r="B45" s="47" t="s">
        <v>14</v>
      </c>
      <c r="C45" s="49">
        <v>40.2560819462228</v>
      </c>
      <c r="D45" s="37">
        <v>12900</v>
      </c>
      <c r="E45" s="37">
        <v>12900</v>
      </c>
      <c r="F45" s="36">
        <f>Table132[[#This Row],[New position]]-Table132[[#This Row],[Old position]]</f>
        <v>0</v>
      </c>
      <c r="G45" s="37">
        <f>ROUND(Table132[[#This Row],[Target allocation ($)]]/(IF(G84&gt;0, G70,E70)*C18)*100,3)</f>
        <v>0.187</v>
      </c>
      <c r="H45" s="42">
        <f>Table132[[#This Row],[New position]]*Table132[[#This Row],[Last_Price]]</f>
        <v>519303.45710627409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9988</v>
      </c>
      <c r="B46" s="47" t="s">
        <v>14</v>
      </c>
      <c r="C46" s="49">
        <v>9.1741357234314993</v>
      </c>
      <c r="D46" s="37">
        <v>22000</v>
      </c>
      <c r="E46" s="37">
        <v>22000</v>
      </c>
      <c r="F46" s="36">
        <f>Table132[[#This Row],[New position]]-Table132[[#This Row],[Old position]]</f>
        <v>0</v>
      </c>
      <c r="G46" s="37">
        <f>ROUND(Table132[[#This Row],[Target allocation ($)]]/(IF(G84&gt;0, G70,E70)*C18)*100,3)</f>
        <v>7.2999999999999995E-2</v>
      </c>
      <c r="H46" s="42">
        <f>Table132[[#This Row],[New position]]*Table132[[#This Row],[Last_Price]]</f>
        <v>201830.98591549299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9888</v>
      </c>
      <c r="B47" s="47" t="s">
        <v>14</v>
      </c>
      <c r="C47" s="49">
        <v>14.2893725992318</v>
      </c>
      <c r="D47" s="37">
        <v>15600</v>
      </c>
      <c r="E47" s="37">
        <v>15600</v>
      </c>
      <c r="F47" s="36">
        <f>Table132[[#This Row],[New position]]-Table132[[#This Row],[Old position]]</f>
        <v>0</v>
      </c>
      <c r="G47" s="37">
        <f>ROUND(Table132[[#This Row],[Target allocation ($)]]/(IF(G84&gt;0, G70,E70)*C18)*100,3)</f>
        <v>0.08</v>
      </c>
      <c r="H47" s="42">
        <f>Table132[[#This Row],[New position]]*Table132[[#This Row],[Last_Price]]</f>
        <v>222914.21254801608</v>
      </c>
      <c r="I47" s="58"/>
      <c r="L47" s="53"/>
      <c r="M47"/>
      <c r="N47"/>
      <c r="O47"/>
      <c r="P47"/>
      <c r="Q47"/>
      <c r="R47"/>
    </row>
    <row r="48" spans="1:18" x14ac:dyDescent="0.25">
      <c r="A48" s="47" t="s">
        <v>11</v>
      </c>
      <c r="B48" s="47" t="s">
        <v>14</v>
      </c>
      <c r="C48" s="49">
        <v>404.76</v>
      </c>
      <c r="D48" s="37">
        <v>182668</v>
      </c>
      <c r="E48" s="37">
        <v>182668</v>
      </c>
      <c r="F48" s="36">
        <f>Table132[[#This Row],[New position]]-Table132[[#This Row],[Old position]]</f>
        <v>0</v>
      </c>
      <c r="G48" s="37">
        <f>ROUND(Table132[[#This Row],[Target allocation ($)]]/(IF(G84&gt;0, G70,E70)*C18)*100,3)</f>
        <v>26.628</v>
      </c>
      <c r="H48" s="42">
        <f>Table132[[#This Row],[New position]]*Table132[[#This Row],[Last_Price]]</f>
        <v>73936699.679999992</v>
      </c>
      <c r="I48" s="29"/>
      <c r="L48" s="53"/>
      <c r="M48"/>
      <c r="N48"/>
      <c r="O48"/>
      <c r="P48"/>
      <c r="Q48"/>
      <c r="R48"/>
    </row>
    <row r="49" spans="1:18" x14ac:dyDescent="0.25">
      <c r="A49" s="47" t="s">
        <v>83</v>
      </c>
      <c r="B49" s="47" t="s">
        <v>14</v>
      </c>
      <c r="C49" s="49">
        <v>49.14</v>
      </c>
      <c r="D49" s="37">
        <v>52000</v>
      </c>
      <c r="E49" s="37">
        <v>52000</v>
      </c>
      <c r="F49" s="36">
        <f>Table132[[#This Row],[New position]]-Table132[[#This Row],[Old position]]</f>
        <v>0</v>
      </c>
      <c r="G49" s="37">
        <f>ROUND(Table132[[#This Row],[Target allocation ($)]]/(IF(G84&gt;0, G70,E70)*C18)*100,3)</f>
        <v>0.92</v>
      </c>
      <c r="H49" s="42">
        <f>Table132[[#This Row],[New position]]*Table132[[#This Row],[Last_Price]]</f>
        <v>2555280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84</v>
      </c>
      <c r="B50" s="47" t="s">
        <v>14</v>
      </c>
      <c r="C50" s="49">
        <v>108.8</v>
      </c>
      <c r="D50" s="37">
        <v>0</v>
      </c>
      <c r="E50" s="37">
        <v>25521</v>
      </c>
      <c r="F50" s="36">
        <f>Table132[[#This Row],[New position]]-Table132[[#This Row],[Old position]]</f>
        <v>25521</v>
      </c>
      <c r="G50" s="37">
        <f>ROUND(Table132[[#This Row],[Target allocation ($)]]/(IF(G84&gt;0, G70,E70)*C18)*100,3)</f>
        <v>1</v>
      </c>
      <c r="H50" s="42">
        <f>Table132[[#This Row],[New position]]*Table132[[#This Row],[Last_Price]]</f>
        <v>2776684.8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34</v>
      </c>
      <c r="B51" s="47" t="s">
        <v>14</v>
      </c>
      <c r="C51" s="49">
        <v>48.75</v>
      </c>
      <c r="D51" s="37">
        <v>27349</v>
      </c>
      <c r="E51" s="37">
        <v>27349</v>
      </c>
      <c r="F51" s="36">
        <f>Table132[[#This Row],[New position]]-Table132[[#This Row],[Old position]]</f>
        <v>0</v>
      </c>
      <c r="G51" s="37">
        <f>ROUND(Table132[[#This Row],[Target allocation ($)]]/(IF(G84&gt;0, G70,E70)*C18)*100,3)</f>
        <v>0.48</v>
      </c>
      <c r="H51" s="42">
        <f>Table132[[#This Row],[New position]]*Table132[[#This Row],[Last_Price]]</f>
        <v>1333263.75</v>
      </c>
      <c r="I51" s="58"/>
      <c r="L51" s="53"/>
      <c r="M51"/>
      <c r="N51"/>
      <c r="O51"/>
      <c r="P51"/>
      <c r="Q51"/>
      <c r="R51"/>
    </row>
    <row r="52" spans="1:18" ht="38.25" x14ac:dyDescent="0.25">
      <c r="A52" s="69" t="s">
        <v>68</v>
      </c>
      <c r="B52" s="69" t="s">
        <v>14</v>
      </c>
      <c r="C52" s="59">
        <v>35.61</v>
      </c>
      <c r="D52" s="70">
        <v>36758</v>
      </c>
      <c r="E52" s="70">
        <v>0</v>
      </c>
      <c r="F52" s="71">
        <f>Table132[[#This Row],[New position]]-Table132[[#This Row],[Old position]]</f>
        <v>-36758</v>
      </c>
      <c r="G52" s="70">
        <f>ROUND(Table132[[#This Row],[Target allocation ($)]]/(IF(G84&gt;0, G70,E70)*C18)*100,3)</f>
        <v>0</v>
      </c>
      <c r="H52" s="72">
        <f>Table132[[#This Row],[New position]]*Table132[[#This Row],[Last_Price]]</f>
        <v>0</v>
      </c>
      <c r="I52" s="68" t="s">
        <v>90</v>
      </c>
      <c r="L52" s="53"/>
      <c r="M52"/>
      <c r="N52"/>
      <c r="O52"/>
      <c r="P52"/>
      <c r="Q52"/>
      <c r="R52"/>
    </row>
    <row r="53" spans="1:18" x14ac:dyDescent="0.25">
      <c r="A53" s="47" t="s">
        <v>36</v>
      </c>
      <c r="B53" s="47" t="s">
        <v>14</v>
      </c>
      <c r="C53" s="49">
        <v>81.010000000000005</v>
      </c>
      <c r="D53" s="37">
        <v>127560</v>
      </c>
      <c r="E53" s="37">
        <v>127560</v>
      </c>
      <c r="F53" s="36">
        <f>Table132[[#This Row],[New position]]-Table132[[#This Row],[Old position]]</f>
        <v>0</v>
      </c>
      <c r="G53" s="37">
        <f>ROUND(Table132[[#This Row],[Target allocation ($)]]/(IF(G84&gt;0, G70,E70)*C18)*100,3)</f>
        <v>3.722</v>
      </c>
      <c r="H53" s="42">
        <f>Table132[[#This Row],[New position]]*Table132[[#This Row],[Last_Price]]</f>
        <v>10333635.600000001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37</v>
      </c>
      <c r="B54" s="47" t="s">
        <v>14</v>
      </c>
      <c r="C54" s="49">
        <v>71.47</v>
      </c>
      <c r="D54" s="37">
        <v>145699</v>
      </c>
      <c r="E54" s="37">
        <v>145699</v>
      </c>
      <c r="F54" s="36">
        <f>Table132[[#This Row],[New position]]-Table132[[#This Row],[Old position]]</f>
        <v>0</v>
      </c>
      <c r="G54" s="37">
        <f>ROUND(Table132[[#This Row],[Target allocation ($)]]/(IF(G84&gt;0, G70,E70)*C18)*100,3)</f>
        <v>3.75</v>
      </c>
      <c r="H54" s="42">
        <f>Table132[[#This Row],[New position]]*Table132[[#This Row],[Last_Price]]</f>
        <v>10413107.529999999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47</v>
      </c>
      <c r="B55" s="47" t="s">
        <v>14</v>
      </c>
      <c r="C55" s="49">
        <v>98.71</v>
      </c>
      <c r="D55" s="37">
        <v>104876</v>
      </c>
      <c r="E55" s="37">
        <v>104876</v>
      </c>
      <c r="F55" s="36">
        <f>Table132[[#This Row],[New position]]-Table132[[#This Row],[Old position]]</f>
        <v>0</v>
      </c>
      <c r="G55" s="37">
        <f>ROUND(Table132[[#This Row],[Target allocation ($)]]/(IF(G84&gt;0, G70,E70)*C18)*100,3)</f>
        <v>3.7280000000000002</v>
      </c>
      <c r="H55" s="42">
        <f>Table132[[#This Row],[New position]]*Table132[[#This Row],[Last_Price]]</f>
        <v>10352309.959999999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48</v>
      </c>
      <c r="B56" s="47" t="s">
        <v>14</v>
      </c>
      <c r="C56" s="49">
        <v>65.02</v>
      </c>
      <c r="D56" s="37">
        <v>231891</v>
      </c>
      <c r="E56" s="37">
        <v>266903</v>
      </c>
      <c r="F56" s="36">
        <f>Table132[[#This Row],[New position]]-Table132[[#This Row],[Old position]]</f>
        <v>35012</v>
      </c>
      <c r="G56" s="37">
        <f>ROUND(Table132[[#This Row],[Target allocation ($)]]/(IF(G84&gt;0, G70,E70)*C18)*100,3)</f>
        <v>6.25</v>
      </c>
      <c r="H56" s="42">
        <f>Table132[[#This Row],[New position]]*Table132[[#This Row],[Last_Price]]</f>
        <v>17354033.059999999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44</v>
      </c>
      <c r="B57" s="47" t="s">
        <v>14</v>
      </c>
      <c r="C57" s="49">
        <v>289.8</v>
      </c>
      <c r="D57" s="37">
        <v>34544</v>
      </c>
      <c r="E57" s="37">
        <v>34544</v>
      </c>
      <c r="F57" s="36">
        <f>Table132[[#This Row],[New position]]-Table132[[#This Row],[Old position]]</f>
        <v>0</v>
      </c>
      <c r="G57" s="37">
        <f>ROUND(Table132[[#This Row],[Target allocation ($)]]/(IF(G84&gt;0, G70,E70)*C18)*100,3)</f>
        <v>3.605</v>
      </c>
      <c r="H57" s="42">
        <f>Table132[[#This Row],[New position]]*Table132[[#This Row],[Last_Price]]</f>
        <v>10010851.200000001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45</v>
      </c>
      <c r="B58" s="47" t="s">
        <v>14</v>
      </c>
      <c r="C58" s="49">
        <v>59.2</v>
      </c>
      <c r="D58" s="37">
        <v>171308</v>
      </c>
      <c r="E58" s="37">
        <v>171308</v>
      </c>
      <c r="F58" s="36">
        <f>Table132[[#This Row],[New position]]-Table132[[#This Row],[Old position]]</f>
        <v>0</v>
      </c>
      <c r="G58" s="37">
        <f>ROUND(Table132[[#This Row],[Target allocation ($)]]/(IF(G84&gt;0, G70,E70)*C18)*100,3)</f>
        <v>3.6520000000000001</v>
      </c>
      <c r="H58" s="42">
        <f>Table132[[#This Row],[New position]]*Table132[[#This Row],[Last_Price]]</f>
        <v>10141433.6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64</v>
      </c>
      <c r="B59" s="47" t="s">
        <v>14</v>
      </c>
      <c r="C59" s="49">
        <v>470.8</v>
      </c>
      <c r="D59" s="37">
        <v>13160</v>
      </c>
      <c r="E59" s="37">
        <v>13160</v>
      </c>
      <c r="F59" s="36">
        <f>Table132[[#This Row],[New position]]-Table132[[#This Row],[Old position]]</f>
        <v>0</v>
      </c>
      <c r="G59" s="37">
        <f>ROUND(Table132[[#This Row],[Target allocation ($)]]/(IF(G84&gt;0, G70,E70)*C18)*100,3)</f>
        <v>2.2309999999999999</v>
      </c>
      <c r="H59" s="42">
        <f>Table132[[#This Row],[New position]]*Table132[[#This Row],[Last_Price]]</f>
        <v>6195728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65</v>
      </c>
      <c r="B60" s="47" t="s">
        <v>14</v>
      </c>
      <c r="C60" s="49">
        <v>110.52</v>
      </c>
      <c r="D60" s="37">
        <v>93168</v>
      </c>
      <c r="E60" s="37">
        <v>93168</v>
      </c>
      <c r="F60" s="36">
        <f>Table132[[#This Row],[New position]]-Table132[[#This Row],[Old position]]</f>
        <v>0</v>
      </c>
      <c r="G60" s="37">
        <f>ROUND(Table132[[#This Row],[Target allocation ($)]]/(IF(G84&gt;0, G70,E70)*C18)*100,3)</f>
        <v>3.7080000000000002</v>
      </c>
      <c r="H60" s="42">
        <f>Table132[[#This Row],[New position]]*Table132[[#This Row],[Last_Price]]</f>
        <v>10296927.359999999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82</v>
      </c>
      <c r="B61" s="47" t="s">
        <v>14</v>
      </c>
      <c r="C61" s="49">
        <v>36.18</v>
      </c>
      <c r="D61" s="37">
        <v>229000</v>
      </c>
      <c r="E61" s="37">
        <v>229000</v>
      </c>
      <c r="F61" s="36">
        <f>Table132[[#This Row],[New position]]-Table132[[#This Row],[Old position]]</f>
        <v>0</v>
      </c>
      <c r="G61" s="37">
        <f>ROUND(Table132[[#This Row],[Target allocation ($)]]/(IF(G84&gt;0, G70,E70)*C18)*100,3)</f>
        <v>2.984</v>
      </c>
      <c r="H61" s="42">
        <f>Table132[[#This Row],[New position]]*Table132[[#This Row],[Last_Price]]</f>
        <v>8285220</v>
      </c>
      <c r="I61" s="58"/>
      <c r="L61" s="53"/>
      <c r="M61"/>
      <c r="N61"/>
      <c r="O61"/>
      <c r="P61"/>
      <c r="Q61"/>
      <c r="R61"/>
    </row>
    <row r="62" spans="1:18" x14ac:dyDescent="0.25">
      <c r="A62" s="47" t="s">
        <v>66</v>
      </c>
      <c r="B62" s="47" t="s">
        <v>14</v>
      </c>
      <c r="C62" s="49">
        <v>39.94</v>
      </c>
      <c r="D62" s="37">
        <v>15560</v>
      </c>
      <c r="E62" s="37">
        <v>15560</v>
      </c>
      <c r="F62" s="36">
        <f>Table132[[#This Row],[New position]]-Table132[[#This Row],[Old position]]</f>
        <v>0</v>
      </c>
      <c r="G62" s="37">
        <f>ROUND(Table132[[#This Row],[Target allocation ($)]]/(IF(G84&gt;0, G70,E70)*C18)*100,3)</f>
        <v>0.224</v>
      </c>
      <c r="H62" s="42">
        <f>Table132[[#This Row],[New position]]*Table132[[#This Row],[Last_Price]]</f>
        <v>621466.39999999991</v>
      </c>
      <c r="I62" s="29"/>
      <c r="L62" s="53"/>
      <c r="M62"/>
      <c r="N62"/>
      <c r="O62"/>
      <c r="P62"/>
      <c r="Q62"/>
      <c r="R62"/>
    </row>
    <row r="63" spans="1:18" x14ac:dyDescent="0.25">
      <c r="A63" s="47" t="s">
        <v>67</v>
      </c>
      <c r="B63" s="47" t="s">
        <v>14</v>
      </c>
      <c r="C63" s="49">
        <v>152.69999999999999</v>
      </c>
      <c r="D63" s="37">
        <v>10499</v>
      </c>
      <c r="E63" s="37">
        <v>10499</v>
      </c>
      <c r="F63" s="36">
        <f>Table132[[#This Row],[New position]]-Table132[[#This Row],[Old position]]</f>
        <v>0</v>
      </c>
      <c r="G63" s="37">
        <f>ROUND(Table132[[#This Row],[Target allocation ($)]]/(IF(G84&gt;0, G70,E70)*C18)*100,3)</f>
        <v>0.57699999999999996</v>
      </c>
      <c r="H63" s="42">
        <f>Table132[[#This Row],[New position]]*Table132[[#This Row],[Last_Price]]</f>
        <v>1603197.2999999998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70</v>
      </c>
      <c r="B64" s="47" t="s">
        <v>14</v>
      </c>
      <c r="C64" s="49">
        <v>189.25</v>
      </c>
      <c r="D64" s="37">
        <v>91855</v>
      </c>
      <c r="E64" s="37">
        <v>54286</v>
      </c>
      <c r="F64" s="36">
        <f>Table132[[#This Row],[New position]]-Table132[[#This Row],[Old position]]</f>
        <v>-37569</v>
      </c>
      <c r="G64" s="37">
        <f>ROUND(Table132[[#This Row],[Target allocation ($)]]/(IF(G84&gt;0, G70,E70)*C18)*100,3)</f>
        <v>3.7</v>
      </c>
      <c r="H64" s="42">
        <f>Table132[[#This Row],[New position]]*Table132[[#This Row],[Last_Price]]</f>
        <v>10273625.5</v>
      </c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29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8"/>
      <c r="D66" s="38"/>
      <c r="E66" s="63"/>
      <c r="F66" s="34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6"/>
      <c r="G67" s="37"/>
      <c r="H67" s="49"/>
      <c r="I67" s="58"/>
      <c r="L67" s="53"/>
      <c r="M67"/>
      <c r="N67"/>
      <c r="O67"/>
      <c r="P67"/>
      <c r="Q67"/>
      <c r="R67"/>
    </row>
    <row r="68" spans="1:18" x14ac:dyDescent="0.25">
      <c r="A68" s="47"/>
      <c r="B68" s="47"/>
      <c r="C68" s="49"/>
      <c r="D68" s="37"/>
      <c r="E68" s="37"/>
      <c r="F68" s="34"/>
      <c r="G68" s="37"/>
      <c r="H68" s="49"/>
      <c r="I68" s="51"/>
      <c r="L68"/>
      <c r="M68"/>
      <c r="N68"/>
      <c r="O68"/>
      <c r="P68"/>
      <c r="Q68"/>
      <c r="R68"/>
    </row>
    <row r="69" spans="1:18" x14ac:dyDescent="0.25">
      <c r="A69" s="47"/>
      <c r="B69" s="47"/>
      <c r="C69" s="48"/>
      <c r="D69" s="38"/>
      <c r="E69" s="59" t="s">
        <v>49</v>
      </c>
      <c r="F69" s="34"/>
      <c r="G69" s="60" t="s">
        <v>50</v>
      </c>
      <c r="H69" s="49"/>
      <c r="I69" s="51"/>
      <c r="L69"/>
      <c r="M69"/>
      <c r="N69"/>
      <c r="O69"/>
      <c r="P69"/>
      <c r="Q69"/>
      <c r="R69"/>
    </row>
    <row r="70" spans="1:18" ht="30" x14ac:dyDescent="0.25">
      <c r="A70" s="47" t="s">
        <v>32</v>
      </c>
      <c r="B70" s="47"/>
      <c r="C70" s="48"/>
      <c r="D70" s="38"/>
      <c r="E70" s="37">
        <f xml:space="preserve"> IF(G84&gt;0, (C19+ABS(G84*G70))/C15, C19/C15)</f>
        <v>5.5</v>
      </c>
      <c r="F70" s="34"/>
      <c r="G70" s="37">
        <v>5.5</v>
      </c>
      <c r="H70" s="49"/>
      <c r="I70" s="51"/>
      <c r="L70"/>
      <c r="M70"/>
      <c r="N70"/>
      <c r="O70"/>
      <c r="P70"/>
      <c r="Q70"/>
      <c r="R70"/>
    </row>
    <row r="71" spans="1:18" ht="15" customHeight="1" x14ac:dyDescent="0.25">
      <c r="A71" s="37" t="s">
        <v>38</v>
      </c>
      <c r="B71" s="37"/>
      <c r="C71" s="37"/>
      <c r="D71" s="50" t="str">
        <f>Table132[[#This Row],[Symbol]]</f>
        <v>SingleStocks</v>
      </c>
      <c r="E71" s="37">
        <f>ROUND(SUM(G22:G37)/100, 3)</f>
        <v>2.5000000000000001E-2</v>
      </c>
      <c r="F71" s="50" t="str">
        <f>Table132[[#This Row],[Symbol]]</f>
        <v>SingleStocks</v>
      </c>
      <c r="G71" s="37">
        <f>SUM(H22:H37)/(G70*C18)</f>
        <v>2.4895467569012453E-2</v>
      </c>
      <c r="H71" s="37"/>
      <c r="I71" s="30"/>
      <c r="L71"/>
      <c r="M71"/>
      <c r="N71"/>
      <c r="O71"/>
      <c r="P71"/>
      <c r="Q71"/>
      <c r="R71"/>
    </row>
    <row r="72" spans="1:18" ht="15" customHeight="1" x14ac:dyDescent="0.25">
      <c r="A72" s="47" t="s">
        <v>87</v>
      </c>
      <c r="B72" s="47"/>
      <c r="C72" s="48"/>
      <c r="D72" s="50" t="str">
        <f>Table132[[#This Row],[Symbol]]</f>
        <v>Semiconductor</v>
      </c>
      <c r="E72" s="37">
        <f>ROUND(SUM(G38:G39)/100, 3)</f>
        <v>1.7999999999999999E-2</v>
      </c>
      <c r="F72" s="50" t="str">
        <f>Table132[[#This Row],[Symbol]]</f>
        <v>Semiconductor</v>
      </c>
      <c r="G72" s="37">
        <f>SUM(H38:H39)/(G70*C18)</f>
        <v>1.799996794328567E-2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88</v>
      </c>
      <c r="B73" s="47"/>
      <c r="C73" s="48"/>
      <c r="D73" s="50" t="str">
        <f>Table132[[#This Row],[Symbol]]</f>
        <v>Small Cap</v>
      </c>
      <c r="E73" s="56">
        <f>ROUND(SUM(G40)/100, 3)</f>
        <v>7.0000000000000007E-2</v>
      </c>
      <c r="F73" s="50" t="str">
        <f>Table132[[#This Row],[Symbol]]</f>
        <v>Small Cap</v>
      </c>
      <c r="G73" s="56">
        <f>SUM(H40)/(G70*C18)</f>
        <v>6.9999956764312365E-2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74</v>
      </c>
      <c r="B74" s="47"/>
      <c r="C74" s="48"/>
      <c r="D74" s="50" t="str">
        <f>Table132[[#This Row],[Symbol]]</f>
        <v>S&amp;P</v>
      </c>
      <c r="E74" s="37">
        <f>ROUND(SUM(G41:G42)/100, 3)</f>
        <v>8.2000000000000003E-2</v>
      </c>
      <c r="F74" s="50" t="str">
        <f>Table132[[#This Row],[Symbol]]</f>
        <v>S&amp;P</v>
      </c>
      <c r="G74" s="37">
        <f>SUM(H41:H42)/(G70*C18)</f>
        <v>8.2119817204554801E-2</v>
      </c>
      <c r="H74" s="49"/>
      <c r="I74" s="57"/>
      <c r="L74"/>
      <c r="M74"/>
      <c r="N74"/>
      <c r="O74"/>
      <c r="P74"/>
      <c r="Q74"/>
      <c r="R74"/>
    </row>
    <row r="75" spans="1:18" ht="15.75" customHeight="1" x14ac:dyDescent="0.25">
      <c r="A75" s="47" t="s">
        <v>75</v>
      </c>
      <c r="B75" s="47"/>
      <c r="C75" s="48"/>
      <c r="D75" s="50" t="str">
        <f>Table132[[#This Row],[Symbol]]</f>
        <v>Dow Jones</v>
      </c>
      <c r="E75" s="37">
        <f>ROUND(SUM(G43)/100, 3)</f>
        <v>2.1000000000000001E-2</v>
      </c>
      <c r="F75" s="50" t="str">
        <f>Table132[[#This Row],[Symbol]]</f>
        <v>Dow Jones</v>
      </c>
      <c r="G75" s="37">
        <f>SUM(H43)/(G70*C18)</f>
        <v>2.0845525138473996E-2</v>
      </c>
      <c r="H75" s="49"/>
      <c r="I75" s="57"/>
      <c r="L75"/>
      <c r="M75"/>
      <c r="N75"/>
      <c r="O75"/>
      <c r="P75"/>
      <c r="Q75"/>
      <c r="R75"/>
    </row>
    <row r="76" spans="1:18" ht="14.25" customHeight="1" x14ac:dyDescent="0.25">
      <c r="A76" s="47" t="s">
        <v>86</v>
      </c>
      <c r="B76" s="47"/>
      <c r="C76" s="48"/>
      <c r="D76" s="50" t="str">
        <f>Table132[[#This Row],[Symbol]]</f>
        <v>Int Stocks</v>
      </c>
      <c r="E76" s="37">
        <f>ROUND(SUM(G44:G47)/100, 3)</f>
        <v>4.0000000000000001E-3</v>
      </c>
      <c r="F76" s="50" t="str">
        <f>Table132[[#This Row],[Symbol]]</f>
        <v>Int Stocks</v>
      </c>
      <c r="G76" s="37">
        <f>SUM(H44:H47)/(G70*C18)</f>
        <v>4.1450144746801405E-3</v>
      </c>
      <c r="H76" s="49"/>
      <c r="I76" s="57"/>
      <c r="L76"/>
      <c r="M76"/>
      <c r="N76"/>
      <c r="O76"/>
      <c r="P76"/>
      <c r="Q76"/>
      <c r="R76"/>
    </row>
    <row r="77" spans="1:18" ht="15.75" customHeight="1" x14ac:dyDescent="0.25">
      <c r="A77" s="47" t="s">
        <v>11</v>
      </c>
      <c r="B77" s="47"/>
      <c r="C77" s="48"/>
      <c r="D77" s="50" t="str">
        <f>Table132[[#This Row],[Symbol]]</f>
        <v>QQQ</v>
      </c>
      <c r="E77" s="56">
        <f>ROUND(SUM(G48:G49)/100, 3)</f>
        <v>0.27500000000000002</v>
      </c>
      <c r="F77" s="50" t="str">
        <f>Table132[[#This Row],[Symbol]]</f>
        <v>QQQ</v>
      </c>
      <c r="G77" s="56">
        <f>SUM(H48:H49)/(G70*C18)</f>
        <v>0.27548382667542848</v>
      </c>
      <c r="H77" s="49"/>
      <c r="I77" s="30"/>
      <c r="L77"/>
      <c r="M77"/>
      <c r="N77"/>
      <c r="O77"/>
      <c r="P77"/>
      <c r="Q77"/>
      <c r="R77"/>
    </row>
    <row r="78" spans="1:18" ht="15.75" customHeight="1" x14ac:dyDescent="0.25">
      <c r="A78" s="47" t="s">
        <v>89</v>
      </c>
      <c r="B78" s="47"/>
      <c r="C78" s="48"/>
      <c r="D78" s="50" t="str">
        <f>Table132[[#This Row],[Symbol]]</f>
        <v>Regional Bank</v>
      </c>
      <c r="E78" s="56">
        <f>ROUND(SUM(G50)/100, 3)</f>
        <v>0.01</v>
      </c>
      <c r="F78" s="50" t="str">
        <f>Table132[[#This Row],[Symbol]]</f>
        <v>Regional Bank</v>
      </c>
      <c r="G78" s="56">
        <f>SUM(H50)/(G70*C18)</f>
        <v>1.0000156321950966E-2</v>
      </c>
      <c r="H78" s="49"/>
      <c r="I78" s="30"/>
      <c r="L78"/>
      <c r="M78"/>
      <c r="N78"/>
      <c r="O78"/>
      <c r="P78"/>
      <c r="Q78"/>
      <c r="R78"/>
    </row>
    <row r="79" spans="1:18" ht="14.25" customHeight="1" x14ac:dyDescent="0.25">
      <c r="A79" s="37" t="s">
        <v>27</v>
      </c>
      <c r="B79" s="47"/>
      <c r="C79" s="48"/>
      <c r="D79" s="50" t="str">
        <f>Table132[[#This Row],[Symbol]]</f>
        <v>Bonds</v>
      </c>
      <c r="E79" s="37">
        <f>ROUND(SUM(G53:G61)/100, 3)</f>
        <v>0.33600000000000002</v>
      </c>
      <c r="F79" s="50" t="str">
        <f>Table132[[#This Row],[Symbol]]</f>
        <v>Bonds</v>
      </c>
      <c r="G79" s="37">
        <f>SUM(H53:H61)/(G70*C18)</f>
        <v>0.33631727337263878</v>
      </c>
      <c r="H79" s="49"/>
      <c r="I79" s="30"/>
      <c r="L79"/>
      <c r="M79"/>
      <c r="N79"/>
      <c r="O79"/>
      <c r="P79"/>
      <c r="Q79"/>
      <c r="R79"/>
    </row>
    <row r="80" spans="1:18" ht="14.25" customHeight="1" x14ac:dyDescent="0.25">
      <c r="A80" s="47" t="s">
        <v>40</v>
      </c>
      <c r="B80" s="37"/>
      <c r="C80" s="37"/>
      <c r="D80" s="50" t="str">
        <f>Table132[[#This Row],[Symbol]]</f>
        <v>Gold</v>
      </c>
      <c r="E80" s="37">
        <f>ROUND(SUM(G64)/100,3)</f>
        <v>3.6999999999999998E-2</v>
      </c>
      <c r="F80" s="50" t="str">
        <f>Table132[[#This Row],[Symbol]]</f>
        <v>Gold</v>
      </c>
      <c r="G80" s="37">
        <f>SUM(H64)/(G70*C18)</f>
        <v>3.7000188495713182E-2</v>
      </c>
      <c r="H80" s="37"/>
      <c r="I80" s="31"/>
      <c r="L80"/>
      <c r="M80"/>
      <c r="N80"/>
      <c r="O80"/>
      <c r="P80"/>
      <c r="Q80"/>
      <c r="R80"/>
    </row>
    <row r="81" spans="1:18" ht="15" customHeight="1" x14ac:dyDescent="0.25">
      <c r="A81" s="37" t="s">
        <v>28</v>
      </c>
      <c r="B81" s="37"/>
      <c r="C81" s="37"/>
      <c r="D81" s="50" t="str">
        <f>Table132[[#This Row],[Symbol]]</f>
        <v>Commodities</v>
      </c>
      <c r="E81" s="37">
        <f>ROUND(SUM(G51:G52)/100,3)</f>
        <v>5.0000000000000001E-3</v>
      </c>
      <c r="F81" s="50" t="str">
        <f>Table132[[#This Row],[Symbol]]</f>
        <v>Commodities</v>
      </c>
      <c r="G81" s="37">
        <f>SUM(H51:H52)/(G70*C18)</f>
        <v>4.8017138705806839E-3</v>
      </c>
      <c r="H81" s="37"/>
      <c r="I81" s="32"/>
      <c r="L81"/>
      <c r="M81"/>
      <c r="N81"/>
      <c r="O81"/>
      <c r="P81"/>
      <c r="Q81"/>
      <c r="R81"/>
    </row>
    <row r="82" spans="1:18" ht="14.25" customHeight="1" x14ac:dyDescent="0.25">
      <c r="A82" s="47" t="s">
        <v>39</v>
      </c>
      <c r="B82" s="47"/>
      <c r="C82" s="48"/>
      <c r="D82" s="50" t="str">
        <f>Table132[[#This Row],[Symbol]]</f>
        <v>Crypto</v>
      </c>
      <c r="E82" s="56">
        <f>ROUND(SUM(G62:G63)/100,3)</f>
        <v>8.0000000000000002E-3</v>
      </c>
      <c r="F82" s="50" t="str">
        <f>Table132[[#This Row],[Symbol]]</f>
        <v>Crypto</v>
      </c>
      <c r="G82" s="56">
        <f>SUM(H62:H63)/(G70*C18)</f>
        <v>8.0120670389991055E-3</v>
      </c>
      <c r="H82" s="49"/>
      <c r="I82" s="55"/>
      <c r="L82"/>
      <c r="M82"/>
      <c r="N82"/>
      <c r="O82"/>
      <c r="P82"/>
      <c r="Q82"/>
      <c r="R82"/>
    </row>
    <row r="83" spans="1:18" ht="14.25" customHeight="1" x14ac:dyDescent="0.25">
      <c r="A83" s="37" t="s">
        <v>23</v>
      </c>
      <c r="B83" s="37"/>
      <c r="C83" s="37"/>
      <c r="D83" s="50" t="str">
        <f>Table132[[#This Row],[Symbol]]</f>
        <v>Cash</v>
      </c>
      <c r="E83" s="37">
        <f>1-SUM(E71:E82)</f>
        <v>0.10899999999999999</v>
      </c>
      <c r="F83" s="50" t="str">
        <f>Table132[[#This Row],[Symbol]]</f>
        <v>Cash</v>
      </c>
      <c r="G83" s="37">
        <f>1-SUM(G71:G82)</f>
        <v>0.10837902513036934</v>
      </c>
      <c r="H83" s="37"/>
      <c r="I83" s="30"/>
      <c r="L83"/>
      <c r="M83"/>
      <c r="N83"/>
      <c r="O83"/>
      <c r="P83"/>
      <c r="Q83"/>
      <c r="R83"/>
    </row>
    <row r="84" spans="1:18" x14ac:dyDescent="0.25">
      <c r="A84" s="27" t="s">
        <v>29</v>
      </c>
      <c r="B84" s="27"/>
      <c r="C84" s="35"/>
      <c r="D84" s="34"/>
      <c r="E84" s="27">
        <f>C18*E83</f>
        <v>5502798.4009999996</v>
      </c>
      <c r="F84" s="34"/>
      <c r="G84" s="37">
        <f>C18*G83</f>
        <v>5471448.8641223414</v>
      </c>
      <c r="H84" s="42"/>
      <c r="I84" s="33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27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34"/>
      <c r="G86" s="37"/>
      <c r="H86" s="42"/>
      <c r="I86" s="30"/>
      <c r="L86"/>
      <c r="M86"/>
      <c r="N86"/>
      <c r="O86"/>
      <c r="P86"/>
      <c r="Q86"/>
      <c r="R86"/>
    </row>
    <row r="87" spans="1:18" x14ac:dyDescent="0.25">
      <c r="A87" s="27"/>
      <c r="B87" s="27"/>
      <c r="C87" s="35"/>
      <c r="D87" s="27"/>
      <c r="E87" s="27"/>
      <c r="F87" s="34"/>
      <c r="G87" s="37"/>
      <c r="H87" s="42"/>
      <c r="I87" s="30"/>
      <c r="L87"/>
      <c r="M87"/>
      <c r="N87"/>
      <c r="O87"/>
      <c r="P87"/>
      <c r="Q87"/>
      <c r="R87"/>
    </row>
    <row r="88" spans="1:18" x14ac:dyDescent="0.25">
      <c r="A88" s="21"/>
      <c r="B88" s="5" t="s">
        <v>21</v>
      </c>
      <c r="D88" s="1"/>
      <c r="E88" s="5" t="s">
        <v>20</v>
      </c>
      <c r="F88" s="1"/>
      <c r="G88" s="5"/>
      <c r="H88" s="43" t="s">
        <v>2</v>
      </c>
      <c r="I88" s="4"/>
      <c r="L88"/>
      <c r="M88"/>
      <c r="N88"/>
      <c r="O88"/>
      <c r="P88"/>
      <c r="Q88"/>
      <c r="R88"/>
    </row>
    <row r="89" spans="1:18" x14ac:dyDescent="0.25">
      <c r="B89" s="5" t="s">
        <v>24</v>
      </c>
      <c r="D89" s="1"/>
      <c r="E89" s="5" t="s">
        <v>24</v>
      </c>
      <c r="F89" s="1"/>
      <c r="G89" s="5"/>
      <c r="H89" s="43" t="s">
        <v>3</v>
      </c>
      <c r="L89"/>
      <c r="M89"/>
      <c r="N89"/>
      <c r="O89"/>
      <c r="P89"/>
      <c r="Q89"/>
      <c r="R89"/>
    </row>
    <row r="90" spans="1:18" x14ac:dyDescent="0.25">
      <c r="B90" s="3"/>
      <c r="C90"/>
      <c r="D90" s="1"/>
      <c r="E90" s="3"/>
      <c r="F90" s="20"/>
      <c r="G90" s="3"/>
      <c r="H90" s="44"/>
      <c r="L90"/>
      <c r="M90"/>
      <c r="N90"/>
      <c r="O90"/>
      <c r="P90"/>
      <c r="Q90"/>
      <c r="R90"/>
    </row>
    <row r="91" spans="1:18" x14ac:dyDescent="0.25">
      <c r="C91"/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  <row r="95" spans="1:18" x14ac:dyDescent="0.25">
      <c r="L95"/>
      <c r="M95"/>
      <c r="N95"/>
      <c r="O95"/>
      <c r="P95"/>
      <c r="Q95"/>
      <c r="R95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2024-01-05T07:29:37Z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