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259" documentId="14_{A48F4B07-3EF3-43E5-91B2-4CA340E6013A}" xr6:coauthVersionLast="47" xr6:coauthVersionMax="47" xr10:uidLastSave="{9312CE35-83CE-4724-83AF-0D322D770B2D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" l="1"/>
  <c r="C13" i="3"/>
  <c r="C12" i="3"/>
  <c r="C11" i="3"/>
  <c r="C10" i="3"/>
  <c r="C9" i="3"/>
  <c r="C8" i="3"/>
  <c r="C7" i="3"/>
  <c r="C6" i="3"/>
  <c r="C5" i="3"/>
  <c r="C4" i="3"/>
  <c r="C3" i="3"/>
  <c r="G81" i="3"/>
  <c r="G80" i="3"/>
  <c r="G79" i="3"/>
  <c r="G78" i="3"/>
  <c r="G77" i="3"/>
  <c r="G76" i="3"/>
  <c r="G75" i="3"/>
  <c r="G74" i="3"/>
  <c r="G73" i="3"/>
  <c r="G72" i="3"/>
  <c r="G71" i="3"/>
  <c r="G70" i="3"/>
  <c r="H64" i="3"/>
  <c r="F64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F75" i="3"/>
  <c r="F73" i="3"/>
  <c r="F72" i="3"/>
  <c r="F71" i="3"/>
  <c r="F70" i="3"/>
  <c r="F77" i="3"/>
  <c r="F50" i="3"/>
  <c r="F51" i="3"/>
  <c r="H63" i="3" l="1"/>
  <c r="F62" i="3"/>
  <c r="F63" i="3"/>
  <c r="F22" i="3"/>
  <c r="H22" i="3"/>
  <c r="F23" i="3"/>
  <c r="H23" i="3"/>
  <c r="F24" i="3"/>
  <c r="H24" i="3"/>
  <c r="F25" i="3"/>
  <c r="H25" i="3"/>
  <c r="H62" i="3" l="1"/>
  <c r="F74" i="3" l="1"/>
  <c r="F76" i="3"/>
  <c r="F78" i="3"/>
  <c r="F79" i="3"/>
  <c r="F80" i="3"/>
  <c r="F81" i="3"/>
  <c r="F82" i="3"/>
  <c r="H61" i="3"/>
  <c r="F61" i="3"/>
  <c r="H43" i="3" l="1"/>
  <c r="H60" i="3"/>
  <c r="F60" i="3" l="1"/>
  <c r="H42" i="3" l="1"/>
  <c r="H44" i="3"/>
  <c r="H45" i="3"/>
  <c r="H46" i="3"/>
  <c r="H49" i="3"/>
  <c r="H50" i="3"/>
  <c r="H51" i="3"/>
  <c r="H47" i="3"/>
  <c r="H48" i="3"/>
  <c r="H52" i="3"/>
  <c r="H53" i="3"/>
  <c r="H54" i="3"/>
  <c r="H55" i="3"/>
  <c r="H56" i="3"/>
  <c r="H57" i="3"/>
  <c r="H58" i="3"/>
  <c r="H59" i="3"/>
  <c r="F42" i="3"/>
  <c r="F43" i="3"/>
  <c r="F44" i="3"/>
  <c r="F45" i="3"/>
  <c r="F46" i="3"/>
  <c r="F49" i="3"/>
  <c r="F47" i="3"/>
  <c r="F48" i="3"/>
  <c r="F52" i="3"/>
  <c r="F53" i="3"/>
  <c r="F54" i="3"/>
  <c r="F55" i="3"/>
  <c r="F56" i="3"/>
  <c r="F57" i="3"/>
  <c r="F58" i="3"/>
  <c r="F59" i="3"/>
  <c r="F34" i="3" l="1"/>
  <c r="F35" i="3"/>
  <c r="F36" i="3"/>
  <c r="F37" i="3"/>
  <c r="F38" i="3"/>
  <c r="F39" i="3"/>
  <c r="F40" i="3"/>
  <c r="F41" i="3"/>
  <c r="H40" i="3"/>
  <c r="H41" i="3"/>
  <c r="H34" i="3" l="1"/>
  <c r="H35" i="3"/>
  <c r="H38" i="3" l="1"/>
  <c r="H39" i="3"/>
  <c r="H32" i="3"/>
  <c r="H37" i="3"/>
  <c r="H33" i="3" l="1"/>
  <c r="H31" i="3" l="1"/>
  <c r="H30" i="3"/>
  <c r="H29" i="3"/>
  <c r="H36" i="3"/>
  <c r="H26" i="3" l="1"/>
  <c r="H27" i="3"/>
  <c r="H28" i="3"/>
  <c r="C19" i="3" l="1" a="1"/>
  <c r="C19" i="3" s="1"/>
  <c r="F31" i="3"/>
  <c r="F29" i="3"/>
  <c r="F33" i="3"/>
  <c r="F26" i="3" l="1"/>
  <c r="F27" i="3"/>
  <c r="F28" i="3"/>
  <c r="F30" i="3"/>
  <c r="F32" i="3"/>
  <c r="C18" i="3"/>
  <c r="C2" i="3" l="1"/>
  <c r="G82" i="3" l="1"/>
  <c r="G83" i="3" s="1"/>
  <c r="G64" i="3" l="1"/>
  <c r="E79" i="3" s="1"/>
  <c r="G63" i="3"/>
  <c r="E69" i="3"/>
  <c r="G49" i="3" s="1"/>
  <c r="G26" i="3" l="1"/>
  <c r="G23" i="3"/>
  <c r="G25" i="3"/>
  <c r="G22" i="3"/>
  <c r="G24" i="3"/>
  <c r="G62" i="3"/>
  <c r="E81" i="3" s="1"/>
  <c r="G61" i="3"/>
  <c r="G59" i="3"/>
  <c r="G50" i="3"/>
  <c r="E76" i="3" s="1"/>
  <c r="G51" i="3"/>
  <c r="E77" i="3" s="1"/>
  <c r="G40" i="3"/>
  <c r="G60" i="3"/>
  <c r="G55" i="3"/>
  <c r="G52" i="3"/>
  <c r="E80" i="3" s="1"/>
  <c r="G56" i="3"/>
  <c r="G41" i="3"/>
  <c r="G54" i="3"/>
  <c r="G42" i="3"/>
  <c r="E74" i="3" s="1"/>
  <c r="G34" i="3"/>
  <c r="G39" i="3"/>
  <c r="E72" i="3" s="1"/>
  <c r="G46" i="3"/>
  <c r="G44" i="3"/>
  <c r="G47" i="3"/>
  <c r="G48" i="3"/>
  <c r="G57" i="3"/>
  <c r="G43" i="3"/>
  <c r="G58" i="3"/>
  <c r="G35" i="3"/>
  <c r="G45" i="3"/>
  <c r="G31" i="3"/>
  <c r="G53" i="3"/>
  <c r="G27" i="3"/>
  <c r="G28" i="3"/>
  <c r="G33" i="3"/>
  <c r="G37" i="3"/>
  <c r="G36" i="3"/>
  <c r="G29" i="3"/>
  <c r="G32" i="3"/>
  <c r="G38" i="3"/>
  <c r="E71" i="3" s="1"/>
  <c r="G30" i="3"/>
  <c r="E73" i="3" l="1"/>
  <c r="E75" i="3"/>
  <c r="E78" i="3"/>
  <c r="E70" i="3"/>
  <c r="E82" i="3" l="1"/>
  <c r="E83" i="3" s="1"/>
</calcChain>
</file>

<file path=xl/sharedStrings.xml><?xml version="1.0" encoding="utf-8"?>
<sst xmlns="http://schemas.openxmlformats.org/spreadsheetml/2006/main" count="134" uniqueCount="90">
  <si>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</si>
  <si>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</si>
  <si>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</si>
  <si>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</si>
  <si>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</si>
  <si>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</si>
  <si>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</si>
  <si>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</si>
  <si>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</si>
  <si>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</si>
  <si>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</si>
  <si>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</si>
  <si>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</si>
  <si>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</si>
  <si>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</si>
  <si>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</si>
  <si>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</si>
  <si>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</si>
  <si>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</si>
  <si>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</si>
  <si>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</si>
  <si>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</si>
  <si>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</si>
  <si>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</si>
  <si>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</si>
  <si>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</si>
  <si>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</si>
  <si>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</si>
  <si>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</si>
  <si>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</si>
  <si>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</si>
  <si>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</si>
  <si>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</si>
  <si>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</si>
  <si>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</si>
  <si>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</si>
  <si>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</si>
  <si>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</si>
  <si>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</si>
  <si>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</si>
  <si>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</si>
  <si>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</si>
  <si>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</si>
  <si>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</si>
  <si>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</si>
  <si>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</si>
  <si>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</si>
  <si>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</si>
  <si>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</si>
  <si>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</si>
  <si>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</si>
  <si>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</si>
  <si>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</si>
  <si>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</si>
  <si>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</si>
  <si>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</si>
  <si>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</si>
  <si>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</si>
  <si>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GE</t>
  </si>
  <si>
    <t>ASML</t>
  </si>
  <si>
    <t>KNSL</t>
  </si>
  <si>
    <t>HD</t>
  </si>
  <si>
    <t>JBL</t>
  </si>
  <si>
    <t>HUM</t>
  </si>
  <si>
    <t>LQD</t>
  </si>
  <si>
    <t>XBTF</t>
  </si>
  <si>
    <t>COIN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</si>
  <si>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</si>
  <si>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</si>
  <si>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</si>
  <si>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</si>
  <si>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</si>
  <si>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</si>
  <si>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</si>
  <si>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</si>
  <si>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</si>
  <si>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</si>
  <si>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HOOD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</si>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</sst>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Sheet1!$D$70:$D$82</c:f>
              <c:strCache>
                <c:ptCount val="13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8">
                  <c:v>Bonds</c:v>
                </c:pt>
                <c:pt idx="9">
                  <c:v>Gold</c:v>
                </c:pt>
                <c:pt idx="10">
                  <c:v>Commodities</c:v>
                </c:pt>
                <c:pt idx="11">
                  <c:v>Crypto</c:v>
                </c:pt>
                <c:pt idx="12">
                  <c:v>Cash</c:v>
                </c:pt>
              </c:strCache>
            </c:strRef>
          </c:cat>
          <c:val>
            <c:numRef>
              <c:f>Sheet1!$E$70:$E$82</c:f>
              <c:numCache>
                <c:formatCode>General</c:formatCode>
                <c:ptCount val="13"/>
                <c:pt idx="0">
                  <c:v>2.4E-2</c:v>
                </c:pt>
                <c:pt idx="1">
                  <c:v>1.7000000000000001E-2</c:v>
                </c:pt>
                <c:pt idx="2">
                  <c:v>6.8000000000000005E-2</c:v>
                </c:pt>
                <c:pt idx="3">
                  <c:v>8.1000000000000003E-2</c:v>
                </c:pt>
                <c:pt idx="4">
                  <c:v>2.1000000000000001E-2</c:v>
                </c:pt>
                <c:pt idx="5">
                  <c:v>8.9999999999999993E-3</c:v>
                </c:pt>
                <c:pt idx="6">
                  <c:v>0.27100000000000002</c:v>
                </c:pt>
                <c:pt idx="7">
                  <c:v>8.9999999999999993E-3</c:v>
                </c:pt>
                <c:pt idx="8">
                  <c:v>0.32800000000000001</c:v>
                </c:pt>
                <c:pt idx="9">
                  <c:v>3.5999999999999997E-2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0.12399999999999989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6" totalsRowShown="0" headerRowDxfId="13" dataDxfId="11" headerRowBorderDxfId="12" tableBorderDxfId="10" totalsRowBorderDxfId="9">
  <autoFilter ref="A21:I86" xr:uid="{00000000-0009-0000-0100-000001000000}"/>
  <sortState xmlns:xlrd2="http://schemas.microsoft.com/office/spreadsheetml/2017/richdata2" ref="A22:I85">
    <sortCondition ref="A21:A8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4"/>
  <sheetViews>
    <sheetView tabSelected="1" topLeftCell="A25" zoomScale="115" zoomScaleNormal="115" workbookViewId="0">
      <selection activeCell="J48" sqref="J48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5" t="s">
        <v>0</v>
      </c>
      <c r="B1" s="65"/>
      <c r="C1" s="12">
        <v>45280</v>
      </c>
      <c r="E1" s="14"/>
      <c r="F1" s="14"/>
      <c r="G1" s="46"/>
      <c r="H1" s="14"/>
    </row>
    <row r="2" spans="1:8" s="13" customFormat="1" x14ac:dyDescent="0.25">
      <c r="A2" s="65" t="s">
        <v>10</v>
      </c>
      <c r="B2" s="65"/>
      <c r="C2" s="15">
        <f>C19/C18</f>
        <v>4.8272899151706268</v>
      </c>
      <c r="D2"/>
      <c r="E2" s="24"/>
      <c r="F2" s="17"/>
      <c r="G2" s="17"/>
      <c r="H2" s="16"/>
    </row>
    <row r="3" spans="1:8" s="13" customFormat="1" x14ac:dyDescent="0.25">
      <c r="A3" s="67" t="s">
        <v>42</v>
      </c>
      <c r="B3" s="68"/>
      <c r="C3" s="15">
        <f>SUM(H22:H37)/C18</f>
        <v>0.13404763121979046</v>
      </c>
      <c r="D3"/>
      <c r="E3" s="24"/>
      <c r="F3" s="17"/>
      <c r="G3" s="17"/>
      <c r="H3" s="16"/>
    </row>
    <row r="4" spans="1:8" s="13" customFormat="1" x14ac:dyDescent="0.25">
      <c r="A4" s="61" t="s">
        <v>79</v>
      </c>
      <c r="B4" s="62"/>
      <c r="C4" s="15">
        <f>SUM(H38)/C18</f>
        <v>9.4389122846424076E-2</v>
      </c>
      <c r="D4"/>
      <c r="E4" s="24"/>
      <c r="F4" s="17"/>
      <c r="G4" s="17"/>
      <c r="H4" s="16"/>
    </row>
    <row r="5" spans="1:8" s="13" customFormat="1" x14ac:dyDescent="0.25">
      <c r="A5" s="67" t="s">
        <v>74</v>
      </c>
      <c r="B5" s="68"/>
      <c r="C5" s="15">
        <f>SUM(H39)/C18</f>
        <v>0.3762442591990473</v>
      </c>
      <c r="D5"/>
      <c r="E5" s="24"/>
      <c r="F5" s="17"/>
      <c r="G5" s="17"/>
      <c r="H5" s="16"/>
    </row>
    <row r="6" spans="1:8" s="13" customFormat="1" x14ac:dyDescent="0.25">
      <c r="A6" s="61" t="s">
        <v>70</v>
      </c>
      <c r="B6" s="62"/>
      <c r="C6" s="15">
        <f>SUM(H40:H41)/C18</f>
        <v>0.44706402992141397</v>
      </c>
      <c r="D6"/>
      <c r="E6" s="24"/>
      <c r="F6" s="17"/>
      <c r="G6" s="17"/>
      <c r="H6" s="16"/>
    </row>
    <row r="7" spans="1:8" s="13" customFormat="1" x14ac:dyDescent="0.25">
      <c r="A7" s="61" t="s">
        <v>75</v>
      </c>
      <c r="B7" s="62"/>
      <c r="C7" s="15">
        <f>SUM(H42)/C18</f>
        <v>0.1128595756819659</v>
      </c>
      <c r="D7"/>
      <c r="E7" s="24"/>
      <c r="F7" s="17"/>
      <c r="G7" s="17"/>
      <c r="H7" s="16"/>
    </row>
    <row r="8" spans="1:8" s="13" customFormat="1" x14ac:dyDescent="0.25">
      <c r="A8" s="67" t="s">
        <v>46</v>
      </c>
      <c r="B8" s="68"/>
      <c r="C8" s="15">
        <f>SUM(H43:H48)/C18</f>
        <v>4.9326211620216026E-2</v>
      </c>
      <c r="D8"/>
      <c r="E8" s="24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SUM(H49:H50)/C18</f>
        <v>1.4903749341043839</v>
      </c>
      <c r="D9"/>
      <c r="E9" s="24"/>
      <c r="F9" s="17"/>
      <c r="G9" s="17"/>
      <c r="H9" s="16"/>
    </row>
    <row r="10" spans="1:8" s="13" customFormat="1" x14ac:dyDescent="0.25">
      <c r="A10" s="61" t="s">
        <v>87</v>
      </c>
      <c r="B10" s="62"/>
      <c r="C10" s="15">
        <f>SUM(H51)/C19</f>
        <v>1.026486868420856E-2</v>
      </c>
      <c r="D10"/>
      <c r="E10" s="24"/>
      <c r="F10" s="17"/>
      <c r="G10" s="17"/>
      <c r="H10" s="16"/>
    </row>
    <row r="11" spans="1:8" s="13" customFormat="1" x14ac:dyDescent="0.25">
      <c r="A11" s="67" t="s">
        <v>25</v>
      </c>
      <c r="B11" s="68"/>
      <c r="C11" s="15">
        <f>SUM(H53:H61)/C18</f>
        <v>1.806571582169793</v>
      </c>
      <c r="D11"/>
      <c r="E11" s="24"/>
      <c r="F11" s="17"/>
      <c r="G11" s="17"/>
      <c r="H11" s="16"/>
    </row>
    <row r="12" spans="1:8" s="13" customFormat="1" x14ac:dyDescent="0.25">
      <c r="A12" s="67" t="s">
        <v>26</v>
      </c>
      <c r="B12" s="68"/>
      <c r="C12" s="15">
        <f>SUM(H52)/C18</f>
        <v>2.4609204305428102E-2</v>
      </c>
      <c r="D12"/>
      <c r="E12" s="24"/>
      <c r="F12" s="17"/>
      <c r="G12" s="17"/>
      <c r="H12" s="16"/>
    </row>
    <row r="13" spans="1:8" s="13" customFormat="1" x14ac:dyDescent="0.25">
      <c r="A13" s="67" t="s">
        <v>43</v>
      </c>
      <c r="B13" s="68"/>
      <c r="C13" s="15">
        <f>SUM(H64)/C18</f>
        <v>0.19792799906290376</v>
      </c>
      <c r="D13"/>
      <c r="E13" s="24"/>
      <c r="F13" s="17"/>
      <c r="G13" s="17"/>
      <c r="H13" s="16"/>
    </row>
    <row r="14" spans="1:8" s="13" customFormat="1" ht="27.75" customHeight="1" x14ac:dyDescent="0.25">
      <c r="A14" s="66" t="s">
        <v>41</v>
      </c>
      <c r="B14" s="66"/>
      <c r="C14" s="15">
        <f>SUM(H62:H63)/C18</f>
        <v>4.4323867959429449E-2</v>
      </c>
      <c r="D14" s="23"/>
      <c r="E14" s="16"/>
      <c r="F14" s="17"/>
      <c r="G14" s="17"/>
      <c r="H14" s="16"/>
    </row>
    <row r="15" spans="1:8" s="13" customFormat="1" ht="12.75" x14ac:dyDescent="0.25">
      <c r="A15" s="65" t="s">
        <v>8</v>
      </c>
      <c r="B15" s="65"/>
      <c r="C15" s="18">
        <v>51776965</v>
      </c>
      <c r="D15" s="25"/>
      <c r="E15" s="17"/>
      <c r="F15" s="17"/>
      <c r="G15" s="17"/>
      <c r="H15" s="16"/>
    </row>
    <row r="16" spans="1:8" s="13" customFormat="1" ht="12.75" x14ac:dyDescent="0.25">
      <c r="A16" s="65" t="s">
        <v>6</v>
      </c>
      <c r="B16" s="65"/>
      <c r="C16" s="18">
        <v>0</v>
      </c>
      <c r="F16" s="17"/>
      <c r="H16" s="39"/>
    </row>
    <row r="17" spans="1:18" s="13" customFormat="1" ht="12.75" x14ac:dyDescent="0.25">
      <c r="A17" s="65" t="s">
        <v>7</v>
      </c>
      <c r="B17" s="65"/>
      <c r="C17" s="18">
        <v>0</v>
      </c>
      <c r="D17" s="22"/>
      <c r="E17" s="17"/>
      <c r="F17" s="17"/>
      <c r="G17" s="17"/>
      <c r="H17" s="16"/>
    </row>
    <row r="18" spans="1:18" s="13" customFormat="1" ht="12.75" x14ac:dyDescent="0.25">
      <c r="A18" s="65" t="s">
        <v>9</v>
      </c>
      <c r="B18" s="65"/>
      <c r="C18" s="18">
        <f>C15+C16-C17</f>
        <v>51776965</v>
      </c>
      <c r="D18" s="22"/>
      <c r="E18" s="17"/>
      <c r="F18" s="17"/>
      <c r="G18" s="17"/>
      <c r="H18" s="16"/>
    </row>
    <row r="19" spans="1:18" s="13" customFormat="1" ht="27.75" customHeight="1" x14ac:dyDescent="0.25">
      <c r="A19" s="66" t="s">
        <v>5</v>
      </c>
      <c r="B19" s="66"/>
      <c r="C19" s="11">
        <f t="array" ref="C19">SUM(ABS(Table132[Target allocation ($)]))</f>
        <v>249942420.98264253</v>
      </c>
      <c r="D19" s="22" t="s">
        <v>22</v>
      </c>
      <c r="E19" s="17"/>
      <c r="F19" s="17"/>
      <c r="G19" s="17"/>
      <c r="H19" s="16"/>
      <c r="J19" s="19"/>
    </row>
    <row r="20" spans="1:18" s="8" customFormat="1" ht="2.25" customHeight="1" x14ac:dyDescent="0.2">
      <c r="A20" s="6"/>
      <c r="B20" s="6"/>
      <c r="C20" s="4"/>
      <c r="D20" s="1"/>
      <c r="E20" s="1"/>
      <c r="F20" s="1"/>
      <c r="G20" s="1"/>
      <c r="H20" s="40"/>
      <c r="I20" s="1"/>
    </row>
    <row r="21" spans="1:18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41" t="s">
        <v>19</v>
      </c>
      <c r="I21" s="10" t="s">
        <v>1</v>
      </c>
    </row>
    <row r="22" spans="1:18" x14ac:dyDescent="0.25">
      <c r="A22" s="37" t="s">
        <v>31</v>
      </c>
      <c r="B22" s="37" t="s">
        <v>14</v>
      </c>
      <c r="C22" s="49">
        <v>44.7</v>
      </c>
      <c r="D22" s="37">
        <v>12705</v>
      </c>
      <c r="E22" s="37">
        <v>12705</v>
      </c>
      <c r="F22" s="36">
        <f>Table132[[#This Row],[New position]]-Table132[[#This Row],[Old position]]</f>
        <v>0</v>
      </c>
      <c r="G22" s="37">
        <f>ROUND(Table132[[#This Row],[Target allocation ($)]]/(IF(G83&gt;0, G69,E69)*C18)*100,3)</f>
        <v>0.19900000000000001</v>
      </c>
      <c r="H22" s="42">
        <f>Table132[[#This Row],[New position]]*Table132[[#This Row],[Last_Price]]</f>
        <v>567913.5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33</v>
      </c>
      <c r="B23" s="37" t="s">
        <v>14</v>
      </c>
      <c r="C23" s="49">
        <v>201.88</v>
      </c>
      <c r="D23" s="37">
        <v>1361</v>
      </c>
      <c r="E23" s="37">
        <v>1361</v>
      </c>
      <c r="F23" s="36">
        <f>Table132[[#This Row],[New position]]-Table132[[#This Row],[Old position]]</f>
        <v>0</v>
      </c>
      <c r="G23" s="37">
        <f>ROUND(Table132[[#This Row],[Target allocation ($)]]/(IF(G83&gt;0, G69,E69)*C18)*100,3)</f>
        <v>9.6000000000000002E-2</v>
      </c>
      <c r="H23" s="42">
        <f>Table132[[#This Row],[New position]]*Table132[[#This Row],[Last_Price]]</f>
        <v>274758.68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35</v>
      </c>
      <c r="B24" s="37" t="s">
        <v>14</v>
      </c>
      <c r="C24" s="49">
        <v>2327.0300000000002</v>
      </c>
      <c r="D24" s="37">
        <v>122</v>
      </c>
      <c r="E24" s="37">
        <v>122</v>
      </c>
      <c r="F24" s="36">
        <f>Table132[[#This Row],[New position]]-Table132[[#This Row],[Old position]]</f>
        <v>0</v>
      </c>
      <c r="G24" s="37">
        <f>ROUND(Table132[[#This Row],[Target allocation ($)]]/(IF(G83&gt;0, G69,E69)*C18)*100,3)</f>
        <v>0.1</v>
      </c>
      <c r="H24" s="42">
        <f>Table132[[#This Row],[New position]]*Table132[[#This Row],[Last_Price]]</f>
        <v>283897.66000000003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53</v>
      </c>
      <c r="B25" s="37" t="s">
        <v>14</v>
      </c>
      <c r="C25" s="49">
        <v>195.81</v>
      </c>
      <c r="D25" s="37">
        <v>2839</v>
      </c>
      <c r="E25" s="37">
        <v>2839</v>
      </c>
      <c r="F25" s="36">
        <f>Table132[[#This Row],[New position]]-Table132[[#This Row],[Old position]]</f>
        <v>0</v>
      </c>
      <c r="G25" s="37">
        <f>ROUND(Table132[[#This Row],[Target allocation ($)]]/(IF(G83&gt;0, G69,E69)*C18)*100,3)</f>
        <v>0.19500000000000001</v>
      </c>
      <c r="H25" s="42">
        <f>Table132[[#This Row],[New position]]*Table132[[#This Row],[Last_Price]]</f>
        <v>555904.59</v>
      </c>
      <c r="I25" s="52"/>
      <c r="M25"/>
      <c r="N25"/>
      <c r="O25"/>
      <c r="P25"/>
      <c r="Q25"/>
      <c r="R25"/>
    </row>
    <row r="26" spans="1:18" x14ac:dyDescent="0.25">
      <c r="A26" s="37" t="s">
        <v>54</v>
      </c>
      <c r="B26" s="37" t="s">
        <v>14</v>
      </c>
      <c r="C26" s="49">
        <v>371.92</v>
      </c>
      <c r="D26" s="37">
        <v>1436</v>
      </c>
      <c r="E26" s="37">
        <v>1436</v>
      </c>
      <c r="F26" s="36">
        <f>Table132[[#This Row],[New position]]-Table132[[#This Row],[Old position]]</f>
        <v>0</v>
      </c>
      <c r="G26" s="37">
        <f>ROUND(Table132[[#This Row],[Target allocation ($)]]/(IF(G83&gt;0, G69,E69)*C18)*100,3)</f>
        <v>0.188</v>
      </c>
      <c r="H26" s="42">
        <f>Table132[[#This Row],[New position]]*Table132[[#This Row],[Last_Price]]</f>
        <v>534077.12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55</v>
      </c>
      <c r="B27" s="37" t="s">
        <v>14</v>
      </c>
      <c r="C27" s="49">
        <v>136.13999999999999</v>
      </c>
      <c r="D27" s="37">
        <v>3945</v>
      </c>
      <c r="E27" s="37">
        <v>3945</v>
      </c>
      <c r="F27" s="36">
        <f>Table132[[#This Row],[New position]]-Table132[[#This Row],[Old position]]</f>
        <v>0</v>
      </c>
      <c r="G27" s="37">
        <f>ROUND(Table132[[#This Row],[Target allocation ($)]]/(IF(G83&gt;0, G69,E69)*C18)*100,3)</f>
        <v>0.189</v>
      </c>
      <c r="H27" s="42">
        <f>Table132[[#This Row],[New position]]*Table132[[#This Row],[Last_Price]]</f>
        <v>537072.29999999993</v>
      </c>
      <c r="I27" s="28"/>
      <c r="L27"/>
      <c r="M27"/>
      <c r="N27"/>
      <c r="O27"/>
      <c r="P27"/>
      <c r="Q27"/>
      <c r="R27"/>
    </row>
    <row r="28" spans="1:18" x14ac:dyDescent="0.25">
      <c r="A28" s="37" t="s">
        <v>56</v>
      </c>
      <c r="B28" s="37" t="s">
        <v>14</v>
      </c>
      <c r="C28" s="49">
        <v>41</v>
      </c>
      <c r="D28" s="37">
        <v>6756</v>
      </c>
      <c r="E28" s="37">
        <v>6756</v>
      </c>
      <c r="F28" s="36">
        <f>Table132[[#This Row],[New position]]-Table132[[#This Row],[Old position]]</f>
        <v>0</v>
      </c>
      <c r="G28" s="37">
        <f>ROUND(Table132[[#This Row],[Target allocation ($)]]/(IF(G83&gt;0, G69,E69)*C18)*100,3)</f>
        <v>9.7000000000000003E-2</v>
      </c>
      <c r="H28" s="42">
        <f>Table132[[#This Row],[New position]]*Table132[[#This Row],[Last_Price]]</f>
        <v>276996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57</v>
      </c>
      <c r="B29" s="37" t="s">
        <v>14</v>
      </c>
      <c r="C29" s="49">
        <v>579.69000000000005</v>
      </c>
      <c r="D29" s="37">
        <v>914</v>
      </c>
      <c r="E29" s="37">
        <v>914</v>
      </c>
      <c r="F29" s="36">
        <f>Table132[[#This Row],[New position]]-Table132[[#This Row],[Old position]]</f>
        <v>0</v>
      </c>
      <c r="G29" s="37">
        <f>ROUND(Table132[[#This Row],[Target allocation ($)]]/(IF(G83&gt;0, G69,E69)*C18)*100,3)</f>
        <v>0.186</v>
      </c>
      <c r="H29" s="42">
        <f>Table132[[#This Row],[New position]]*Table132[[#This Row],[Last_Price]]</f>
        <v>529836.66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58</v>
      </c>
      <c r="B30" s="37" t="s">
        <v>14</v>
      </c>
      <c r="C30" s="49">
        <v>125.93</v>
      </c>
      <c r="D30" s="37">
        <v>3609</v>
      </c>
      <c r="E30" s="37">
        <v>3609</v>
      </c>
      <c r="F30" s="36">
        <f>Table132[[#This Row],[New position]]-Table132[[#This Row],[Old position]]</f>
        <v>0</v>
      </c>
      <c r="G30" s="37">
        <f>ROUND(Table132[[#This Row],[Target allocation ($)]]/(IF(G83&gt;0, G69,E69)*C18)*100,3)</f>
        <v>0.16</v>
      </c>
      <c r="H30" s="42">
        <f>Table132[[#This Row],[New position]]*Table132[[#This Row],[Last_Price]]</f>
        <v>454481.37000000005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59</v>
      </c>
      <c r="B31" s="37" t="s">
        <v>14</v>
      </c>
      <c r="C31" s="49">
        <v>739.8</v>
      </c>
      <c r="D31" s="37">
        <v>492</v>
      </c>
      <c r="E31" s="37">
        <v>492</v>
      </c>
      <c r="F31" s="36">
        <f>Table132[[#This Row],[New position]]-Table132[[#This Row],[Old position]]</f>
        <v>0</v>
      </c>
      <c r="G31" s="37">
        <f>ROUND(Table132[[#This Row],[Target allocation ($)]]/(IF(G83&gt;0, G69,E69)*C18)*100,3)</f>
        <v>0.128</v>
      </c>
      <c r="H31" s="42">
        <f>Table132[[#This Row],[New position]]*Table132[[#This Row],[Last_Price]]</f>
        <v>363981.6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60</v>
      </c>
      <c r="B32" s="37" t="s">
        <v>14</v>
      </c>
      <c r="C32" s="49">
        <v>338.85</v>
      </c>
      <c r="D32" s="37">
        <v>1531</v>
      </c>
      <c r="E32" s="37">
        <v>1531</v>
      </c>
      <c r="F32" s="36">
        <f>Table132[[#This Row],[New position]]-Table132[[#This Row],[Old position]]</f>
        <v>0</v>
      </c>
      <c r="G32" s="37">
        <f>ROUND(Table132[[#This Row],[Target allocation ($)]]/(IF(G83&gt;0, G69,E69)*C18)*100,3)</f>
        <v>0.182</v>
      </c>
      <c r="H32" s="42">
        <f>Table132[[#This Row],[New position]]*Table132[[#This Row],[Last_Price]]</f>
        <v>518779.35000000003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61</v>
      </c>
      <c r="B33" s="37" t="s">
        <v>14</v>
      </c>
      <c r="C33" s="49">
        <v>351.95</v>
      </c>
      <c r="D33" s="37">
        <v>1326</v>
      </c>
      <c r="E33" s="37">
        <v>1326</v>
      </c>
      <c r="F33" s="36">
        <f>Table132[[#This Row],[New position]]-Table132[[#This Row],[Old position]]</f>
        <v>0</v>
      </c>
      <c r="G33" s="37">
        <f>ROUND(Table132[[#This Row],[Target allocation ($)]]/(IF(G83&gt;0, G69,E69)*C18)*100,3)</f>
        <v>0.16400000000000001</v>
      </c>
      <c r="H33" s="42">
        <f>Table132[[#This Row],[New position]]*Table132[[#This Row],[Last_Price]]</f>
        <v>466685.7</v>
      </c>
      <c r="I33" s="30"/>
      <c r="L33"/>
      <c r="M33"/>
      <c r="N33"/>
      <c r="O33"/>
      <c r="P33"/>
      <c r="Q33"/>
      <c r="R33"/>
    </row>
    <row r="34" spans="1:18" x14ac:dyDescent="0.25">
      <c r="A34" s="47" t="s">
        <v>62</v>
      </c>
      <c r="B34" s="37" t="s">
        <v>14</v>
      </c>
      <c r="C34" s="49">
        <v>131</v>
      </c>
      <c r="D34" s="37">
        <v>3304</v>
      </c>
      <c r="E34" s="37">
        <v>3304</v>
      </c>
      <c r="F34" s="36">
        <f>Table132[[#This Row],[New position]]-Table132[[#This Row],[Old position]]</f>
        <v>0</v>
      </c>
      <c r="G34" s="37">
        <f>ROUND(Table132[[#This Row],[Target allocation ($)]]/(IF(G83&gt;0, G69,E69)*C18)*100,3)</f>
        <v>0.152</v>
      </c>
      <c r="H34" s="42">
        <f>Table132[[#This Row],[New position]]*Table132[[#This Row],[Last_Price]]</f>
        <v>432824</v>
      </c>
      <c r="I34" s="57"/>
      <c r="L34"/>
      <c r="M34"/>
      <c r="N34"/>
      <c r="O34"/>
      <c r="P34"/>
      <c r="Q34"/>
      <c r="R34"/>
    </row>
    <row r="35" spans="1:18" x14ac:dyDescent="0.25">
      <c r="A35" s="47" t="s">
        <v>67</v>
      </c>
      <c r="B35" s="37" t="s">
        <v>14</v>
      </c>
      <c r="C35" s="49">
        <v>150.24</v>
      </c>
      <c r="D35" s="37">
        <v>2704</v>
      </c>
      <c r="E35" s="37">
        <v>2704</v>
      </c>
      <c r="F35" s="36">
        <f>Table132[[#This Row],[New position]]-Table132[[#This Row],[Old position]]</f>
        <v>0</v>
      </c>
      <c r="G35" s="37">
        <f>ROUND(Table132[[#This Row],[Target allocation ($)]]/(IF(G83&gt;0, G69,E69)*C18)*100,3)</f>
        <v>0.14299999999999999</v>
      </c>
      <c r="H35" s="42">
        <f>Table132[[#This Row],[New position]]*Table132[[#This Row],[Last_Price]]</f>
        <v>406248.96000000002</v>
      </c>
      <c r="I35" s="57"/>
      <c r="L35"/>
      <c r="M35"/>
      <c r="N35"/>
      <c r="O35"/>
      <c r="P35"/>
      <c r="Q35"/>
      <c r="R35"/>
    </row>
    <row r="36" spans="1:18" x14ac:dyDescent="0.25">
      <c r="A36" s="37" t="s">
        <v>69</v>
      </c>
      <c r="B36" s="37" t="s">
        <v>14</v>
      </c>
      <c r="C36" s="49">
        <v>106.26</v>
      </c>
      <c r="D36" s="37">
        <v>3280</v>
      </c>
      <c r="E36" s="37">
        <v>3280</v>
      </c>
      <c r="F36" s="36">
        <f>Table132[[#This Row],[New position]]-Table132[[#This Row],[Old position]]</f>
        <v>0</v>
      </c>
      <c r="G36" s="37">
        <f>ROUND(Table132[[#This Row],[Target allocation ($)]]/(IF(G83&gt;0, G69,E69)*C18)*100,3)</f>
        <v>0.122</v>
      </c>
      <c r="H36" s="42">
        <f>Table132[[#This Row],[New position]]*Table132[[#This Row],[Last_Price]]</f>
        <v>348532.8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77</v>
      </c>
      <c r="B37" s="37" t="s">
        <v>14</v>
      </c>
      <c r="C37" s="49">
        <v>13.14</v>
      </c>
      <c r="D37" s="37">
        <v>29573</v>
      </c>
      <c r="E37" s="37">
        <v>29573</v>
      </c>
      <c r="F37" s="36">
        <f>Table132[[#This Row],[New position]]-Table132[[#This Row],[Old position]]</f>
        <v>0</v>
      </c>
      <c r="G37" s="37">
        <f>ROUND(Table132[[#This Row],[Target allocation ($)]]/(IF(G83&gt;0, G69,E69)*C18)*100,3)</f>
        <v>0.13600000000000001</v>
      </c>
      <c r="H37" s="42">
        <f>Table132[[#This Row],[New position]]*Table132[[#This Row],[Last_Price]]</f>
        <v>388589.22000000003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78</v>
      </c>
      <c r="B38" s="37" t="s">
        <v>14</v>
      </c>
      <c r="C38" s="49">
        <v>30.27</v>
      </c>
      <c r="D38" s="37">
        <v>161453</v>
      </c>
      <c r="E38" s="37">
        <v>161453</v>
      </c>
      <c r="F38" s="36">
        <f>Table132[[#This Row],[New position]]-Table132[[#This Row],[Old position]]</f>
        <v>0</v>
      </c>
      <c r="G38" s="37">
        <f>ROUND(Table132[[#This Row],[Target allocation ($)]]/(IF(G83&gt;0, G69,E69)*C18)*100,3)</f>
        <v>1.716</v>
      </c>
      <c r="H38" s="42">
        <f>Table132[[#This Row],[New position]]*Table132[[#This Row],[Last_Price]]</f>
        <v>4887182.3099999996</v>
      </c>
      <c r="I38" s="54"/>
      <c r="L38" s="53"/>
      <c r="M38"/>
      <c r="N38"/>
      <c r="O38"/>
      <c r="P38"/>
      <c r="Q38"/>
      <c r="R38"/>
    </row>
    <row r="39" spans="1:18" x14ac:dyDescent="0.25">
      <c r="A39" s="37" t="s">
        <v>76</v>
      </c>
      <c r="B39" s="37" t="s">
        <v>14</v>
      </c>
      <c r="C39" s="49">
        <v>39.57</v>
      </c>
      <c r="D39" s="37">
        <v>492312</v>
      </c>
      <c r="E39" s="37">
        <v>492312</v>
      </c>
      <c r="F39" s="36">
        <f>Table132[[#This Row],[New position]]-Table132[[#This Row],[Old position]]</f>
        <v>0</v>
      </c>
      <c r="G39" s="37">
        <f>ROUND(Table132[[#This Row],[Target allocation ($)]]/(IF(G83&gt;0, G69,E69)*C18)*100,3)</f>
        <v>6.8410000000000002</v>
      </c>
      <c r="H39" s="42">
        <f>Table132[[#This Row],[New position]]*Table132[[#This Row],[Last_Price]]</f>
        <v>19480785.84</v>
      </c>
      <c r="I39" s="58"/>
      <c r="L39" s="53"/>
      <c r="M39"/>
      <c r="N39"/>
      <c r="O39"/>
      <c r="P39"/>
      <c r="Q39"/>
      <c r="R39"/>
    </row>
    <row r="40" spans="1:18" x14ac:dyDescent="0.25">
      <c r="A40" s="37" t="s">
        <v>51</v>
      </c>
      <c r="B40" s="37" t="s">
        <v>14</v>
      </c>
      <c r="C40" s="49">
        <v>54.59</v>
      </c>
      <c r="D40" s="37">
        <v>251631</v>
      </c>
      <c r="E40" s="37">
        <v>251631</v>
      </c>
      <c r="F40" s="36">
        <f>Table132[[#This Row],[New position]]-Table132[[#This Row],[Old position]]</f>
        <v>0</v>
      </c>
      <c r="G40" s="37">
        <f>ROUND(Table132[[#This Row],[Target allocation ($)]]/(IF(G83&gt;0, G69,E69)*C18)*100,3)</f>
        <v>4.8239999999999998</v>
      </c>
      <c r="H40" s="42">
        <f>Table132[[#This Row],[New position]]*Table132[[#This Row],[Last_Price]]</f>
        <v>13736536.290000001</v>
      </c>
      <c r="I40" s="58"/>
      <c r="L40" s="53"/>
      <c r="M40"/>
      <c r="N40"/>
      <c r="O40"/>
      <c r="P40"/>
      <c r="Q40"/>
      <c r="R40"/>
    </row>
    <row r="41" spans="1:18" x14ac:dyDescent="0.25">
      <c r="A41" s="47" t="s">
        <v>52</v>
      </c>
      <c r="B41" s="47" t="s">
        <v>14</v>
      </c>
      <c r="C41" s="49">
        <v>104.06</v>
      </c>
      <c r="D41" s="37">
        <v>90439</v>
      </c>
      <c r="E41" s="37">
        <v>90439</v>
      </c>
      <c r="F41" s="36">
        <f>Table132[[#This Row],[New position]]-Table132[[#This Row],[Old position]]</f>
        <v>0</v>
      </c>
      <c r="G41" s="37">
        <f>ROUND(Table132[[#This Row],[Target allocation ($)]]/(IF(G83&gt;0, G69,E69)*C18)*100,3)</f>
        <v>3.3050000000000002</v>
      </c>
      <c r="H41" s="42">
        <f>Table132[[#This Row],[New position]]*Table132[[#This Row],[Last_Price]]</f>
        <v>9411082.3399999999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71</v>
      </c>
      <c r="B42" s="47" t="s">
        <v>14</v>
      </c>
      <c r="C42" s="49">
        <v>73.739999999999995</v>
      </c>
      <c r="D42" s="37">
        <v>79245</v>
      </c>
      <c r="E42" s="37">
        <v>79245</v>
      </c>
      <c r="F42" s="36">
        <f>Table132[[#This Row],[New position]]-Table132[[#This Row],[Old position]]</f>
        <v>0</v>
      </c>
      <c r="G42" s="37">
        <f>ROUND(Table132[[#This Row],[Target allocation ($)]]/(IF(G83&gt;0, G69,E69)*C18)*100,3)</f>
        <v>2.052</v>
      </c>
      <c r="H42" s="42">
        <f>Table132[[#This Row],[New position]]*Table132[[#This Row],[Last_Price]]</f>
        <v>5843526.2999999998</v>
      </c>
      <c r="I42" s="29"/>
      <c r="L42" s="53"/>
      <c r="M42"/>
      <c r="N42"/>
      <c r="O42"/>
      <c r="P42"/>
      <c r="Q42"/>
      <c r="R42"/>
    </row>
    <row r="43" spans="1:18" x14ac:dyDescent="0.25">
      <c r="A43" s="47">
        <v>600519</v>
      </c>
      <c r="B43" s="47" t="s">
        <v>14</v>
      </c>
      <c r="C43" s="49">
        <v>229.98047419804701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($)]]/(IF(G83&gt;0, G69,E69)*C18)*100,3)</f>
        <v>7.2999999999999995E-2</v>
      </c>
      <c r="H43" s="42">
        <f>Table132[[#This Row],[New position]]*Table132[[#This Row],[Last_Price]]</f>
        <v>206982.42677824231</v>
      </c>
      <c r="I43" s="29"/>
      <c r="L43" s="53"/>
      <c r="M43"/>
      <c r="N43"/>
      <c r="O43"/>
      <c r="P43"/>
      <c r="Q43"/>
      <c r="R43"/>
    </row>
    <row r="44" spans="1:18" x14ac:dyDescent="0.25">
      <c r="A44" s="47">
        <v>700</v>
      </c>
      <c r="B44" s="47" t="s">
        <v>14</v>
      </c>
      <c r="C44" s="49">
        <v>40.230473751600499</v>
      </c>
      <c r="D44" s="37">
        <v>12900</v>
      </c>
      <c r="E44" s="37">
        <v>12900</v>
      </c>
      <c r="F44" s="36">
        <f>Table132[[#This Row],[New position]]-Table132[[#This Row],[Old position]]</f>
        <v>0</v>
      </c>
      <c r="G44" s="37">
        <f>ROUND(Table132[[#This Row],[Target allocation ($)]]/(IF(G83&gt;0, G69,E69)*C18)*100,3)</f>
        <v>0.182</v>
      </c>
      <c r="H44" s="42">
        <f>Table132[[#This Row],[New position]]*Table132[[#This Row],[Last_Price]]</f>
        <v>518973.11139564641</v>
      </c>
      <c r="I44" s="58"/>
      <c r="L44" s="53"/>
      <c r="M44"/>
      <c r="N44"/>
      <c r="O44"/>
      <c r="P44"/>
      <c r="Q44"/>
      <c r="R44"/>
    </row>
    <row r="45" spans="1:18" x14ac:dyDescent="0.25">
      <c r="A45" s="47">
        <v>9988</v>
      </c>
      <c r="B45" s="47" t="s">
        <v>14</v>
      </c>
      <c r="C45" s="49">
        <v>9.2893725992317506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($)]]/(IF(G83&gt;0, G69,E69)*C18)*100,3)</f>
        <v>7.1999999999999995E-2</v>
      </c>
      <c r="H45" s="42">
        <f>Table132[[#This Row],[New position]]*Table132[[#This Row],[Last_Price]]</f>
        <v>204366.19718309853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9888</v>
      </c>
      <c r="B46" s="47" t="s">
        <v>14</v>
      </c>
      <c r="C46" s="49">
        <v>14.174135723431499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($)]]/(IF(G83&gt;0, G69,E69)*C18)*100,3)</f>
        <v>7.8E-2</v>
      </c>
      <c r="H46" s="42">
        <f>Table132[[#This Row],[New position]]*Table132[[#This Row],[Last_Price]]</f>
        <v>221116.51728553139</v>
      </c>
      <c r="I46" s="58"/>
      <c r="L46" s="53"/>
      <c r="M46"/>
      <c r="N46"/>
      <c r="O46"/>
      <c r="P46"/>
      <c r="Q46"/>
      <c r="R46"/>
    </row>
    <row r="47" spans="1:18" x14ac:dyDescent="0.25">
      <c r="A47" s="47" t="s">
        <v>88</v>
      </c>
      <c r="B47" s="47" t="s">
        <v>14</v>
      </c>
      <c r="C47" s="49">
        <v>102</v>
      </c>
      <c r="D47" s="37">
        <v>0</v>
      </c>
      <c r="E47" s="37">
        <v>2750</v>
      </c>
      <c r="F47" s="36">
        <f>Table132[[#This Row],[New position]]-Table132[[#This Row],[Old position]]</f>
        <v>2750</v>
      </c>
      <c r="G47" s="37">
        <f>ROUND(Table132[[#This Row],[Target allocation ($)]]/(IF(G83&gt;0, G69,E69)*C18)*100,3)</f>
        <v>9.8000000000000004E-2</v>
      </c>
      <c r="H47" s="42">
        <f>Table132[[#This Row],[New position]]*Table132[[#This Row],[Last_Price]]</f>
        <v>280500</v>
      </c>
      <c r="I47" s="58"/>
      <c r="L47" s="53"/>
      <c r="M47"/>
      <c r="N47"/>
      <c r="O47"/>
      <c r="P47"/>
      <c r="Q47"/>
      <c r="R47"/>
    </row>
    <row r="48" spans="1:18" x14ac:dyDescent="0.25">
      <c r="A48" s="47" t="s">
        <v>89</v>
      </c>
      <c r="B48" s="47" t="s">
        <v>14</v>
      </c>
      <c r="C48" s="49">
        <v>62.76</v>
      </c>
      <c r="D48" s="37">
        <v>0</v>
      </c>
      <c r="E48" s="37">
        <v>17878</v>
      </c>
      <c r="F48" s="36">
        <f>Table132[[#This Row],[New position]]-Table132[[#This Row],[Old position]]</f>
        <v>17878</v>
      </c>
      <c r="G48" s="37">
        <f>ROUND(Table132[[#This Row],[Target allocation ($)]]/(IF(G83&gt;0, G69,E69)*C18)*100,3)</f>
        <v>0.39400000000000002</v>
      </c>
      <c r="H48" s="42">
        <f>Table132[[#This Row],[New position]]*Table132[[#This Row],[Last_Price]]</f>
        <v>1122023.28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11</v>
      </c>
      <c r="B49" s="47" t="s">
        <v>14</v>
      </c>
      <c r="C49" s="49">
        <v>408.1</v>
      </c>
      <c r="D49" s="37">
        <v>182668</v>
      </c>
      <c r="E49" s="37">
        <v>182668</v>
      </c>
      <c r="F49" s="36">
        <f>Table132[[#This Row],[New position]]-Table132[[#This Row],[Old position]]</f>
        <v>0</v>
      </c>
      <c r="G49" s="37">
        <f>ROUND(Table132[[#This Row],[Target allocation ($)]]/(IF(G83&gt;0, G69,E69)*C18)*100,3)</f>
        <v>26.178000000000001</v>
      </c>
      <c r="H49" s="42">
        <f>Table132[[#This Row],[New position]]*Table132[[#This Row],[Last_Price]]</f>
        <v>74546810.799999997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81</v>
      </c>
      <c r="B50" s="47" t="s">
        <v>14</v>
      </c>
      <c r="C50" s="49">
        <v>50.39</v>
      </c>
      <c r="D50" s="37">
        <v>52000</v>
      </c>
      <c r="E50" s="37">
        <v>52000</v>
      </c>
      <c r="F50" s="36">
        <f>Table132[[#This Row],[New position]]-Table132[[#This Row],[Old position]]</f>
        <v>0</v>
      </c>
      <c r="G50" s="37">
        <f>ROUND(Table132[[#This Row],[Target allocation ($)]]/(IF(G83&gt;0, G69,E69)*C18)*100,3)</f>
        <v>0.92</v>
      </c>
      <c r="H50" s="42">
        <f>Table132[[#This Row],[New position]]*Table132[[#This Row],[Last_Price]]</f>
        <v>2620280</v>
      </c>
      <c r="I50" s="29"/>
      <c r="L50" s="53"/>
      <c r="M50"/>
      <c r="N50"/>
      <c r="O50"/>
      <c r="P50"/>
      <c r="Q50"/>
      <c r="R50"/>
    </row>
    <row r="51" spans="1:18" x14ac:dyDescent="0.25">
      <c r="A51" s="47" t="s">
        <v>82</v>
      </c>
      <c r="B51" s="47" t="s">
        <v>14</v>
      </c>
      <c r="C51" s="49">
        <v>100.53</v>
      </c>
      <c r="D51" s="37">
        <v>25521</v>
      </c>
      <c r="E51" s="37">
        <v>25521</v>
      </c>
      <c r="F51" s="36">
        <f>Table132[[#This Row],[New position]]-Table132[[#This Row],[Old position]]</f>
        <v>0</v>
      </c>
      <c r="G51" s="37">
        <f>ROUND(Table132[[#This Row],[Target allocation ($)]]/(IF(G83&gt;0, G69,E69)*C18)*100,3)</f>
        <v>0.90100000000000002</v>
      </c>
      <c r="H51" s="42">
        <f>Table132[[#This Row],[New position]]*Table132[[#This Row],[Last_Price]]</f>
        <v>2565626.13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34</v>
      </c>
      <c r="B52" s="47" t="s">
        <v>14</v>
      </c>
      <c r="C52" s="49">
        <v>46.59</v>
      </c>
      <c r="D52" s="37">
        <v>27349</v>
      </c>
      <c r="E52" s="37">
        <v>27349</v>
      </c>
      <c r="F52" s="36">
        <f>Table132[[#This Row],[New position]]-Table132[[#This Row],[Old position]]</f>
        <v>0</v>
      </c>
      <c r="G52" s="37">
        <f>ROUND(Table132[[#This Row],[Target allocation ($)]]/(IF(G83&gt;0, G69,E69)*C18)*100,3)</f>
        <v>0.44700000000000001</v>
      </c>
      <c r="H52" s="42">
        <f>Table132[[#This Row],[New position]]*Table132[[#This Row],[Last_Price]]</f>
        <v>1274189.9100000001</v>
      </c>
      <c r="I52" s="58"/>
      <c r="L52" s="53"/>
      <c r="M52"/>
      <c r="N52"/>
      <c r="O52"/>
      <c r="P52"/>
      <c r="Q52"/>
      <c r="R52"/>
    </row>
    <row r="53" spans="1:18" x14ac:dyDescent="0.25">
      <c r="A53" s="47" t="s">
        <v>36</v>
      </c>
      <c r="B53" s="47" t="s">
        <v>14</v>
      </c>
      <c r="C53" s="49">
        <v>80.89</v>
      </c>
      <c r="D53" s="37">
        <v>127560</v>
      </c>
      <c r="E53" s="37">
        <v>127560</v>
      </c>
      <c r="F53" s="36">
        <f>Table132[[#This Row],[New position]]-Table132[[#This Row],[Old position]]</f>
        <v>0</v>
      </c>
      <c r="G53" s="37">
        <f>ROUND(Table132[[#This Row],[Target allocation ($)]]/(IF(G83&gt;0, G69,E69)*C18)*100,3)</f>
        <v>3.6230000000000002</v>
      </c>
      <c r="H53" s="42">
        <f>Table132[[#This Row],[New position]]*Table132[[#This Row],[Last_Price]]</f>
        <v>10318328.4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37</v>
      </c>
      <c r="B54" s="47" t="s">
        <v>14</v>
      </c>
      <c r="C54" s="49">
        <v>71.84</v>
      </c>
      <c r="D54" s="37">
        <v>145699</v>
      </c>
      <c r="E54" s="37">
        <v>145699</v>
      </c>
      <c r="F54" s="36">
        <f>Table132[[#This Row],[New position]]-Table132[[#This Row],[Old position]]</f>
        <v>0</v>
      </c>
      <c r="G54" s="37">
        <f>ROUND(Table132[[#This Row],[Target allocation ($)]]/(IF(G83&gt;0, G69,E69)*C18)*100,3)</f>
        <v>3.6760000000000002</v>
      </c>
      <c r="H54" s="42">
        <f>Table132[[#This Row],[New position]]*Table132[[#This Row],[Last_Price]]</f>
        <v>10467016.16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47</v>
      </c>
      <c r="B55" s="47" t="s">
        <v>14</v>
      </c>
      <c r="C55" s="49">
        <v>99.2</v>
      </c>
      <c r="D55" s="37">
        <v>104876</v>
      </c>
      <c r="E55" s="37">
        <v>104876</v>
      </c>
      <c r="F55" s="36">
        <f>Table132[[#This Row],[New position]]-Table132[[#This Row],[Old position]]</f>
        <v>0</v>
      </c>
      <c r="G55" s="37">
        <f>ROUND(Table132[[#This Row],[Target allocation ($)]]/(IF(G83&gt;0, G69,E69)*C18)*100,3)</f>
        <v>3.653</v>
      </c>
      <c r="H55" s="42">
        <f>Table132[[#This Row],[New position]]*Table132[[#This Row],[Last_Price]]</f>
        <v>10403699.200000001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48</v>
      </c>
      <c r="B56" s="47" t="s">
        <v>14</v>
      </c>
      <c r="C56" s="49">
        <v>65.819999999999993</v>
      </c>
      <c r="D56" s="37">
        <v>266903</v>
      </c>
      <c r="E56" s="37">
        <v>266903</v>
      </c>
      <c r="F56" s="36">
        <f>Table132[[#This Row],[New position]]-Table132[[#This Row],[Old position]]</f>
        <v>0</v>
      </c>
      <c r="G56" s="37">
        <f>ROUND(Table132[[#This Row],[Target allocation ($)]]/(IF(G83&gt;0, G69,E69)*C18)*100,3)</f>
        <v>6.1689999999999996</v>
      </c>
      <c r="H56" s="42">
        <f>Table132[[#This Row],[New position]]*Table132[[#This Row],[Last_Price]]</f>
        <v>17567555.459999997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44</v>
      </c>
      <c r="B57" s="47" t="s">
        <v>14</v>
      </c>
      <c r="C57" s="49">
        <v>290.8</v>
      </c>
      <c r="D57" s="37">
        <v>34544</v>
      </c>
      <c r="E57" s="37">
        <v>34544</v>
      </c>
      <c r="F57" s="36">
        <f>Table132[[#This Row],[New position]]-Table132[[#This Row],[Old position]]</f>
        <v>0</v>
      </c>
      <c r="G57" s="37">
        <f>ROUND(Table132[[#This Row],[Target allocation ($)]]/(IF(G83&gt;0, G69,E69)*C18)*100,3)</f>
        <v>3.528</v>
      </c>
      <c r="H57" s="42">
        <f>Table132[[#This Row],[New position]]*Table132[[#This Row],[Last_Price]]</f>
        <v>10045395.200000001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45</v>
      </c>
      <c r="B58" s="47" t="s">
        <v>14</v>
      </c>
      <c r="C58" s="49">
        <v>58.83</v>
      </c>
      <c r="D58" s="37">
        <v>171308</v>
      </c>
      <c r="E58" s="37">
        <v>171308</v>
      </c>
      <c r="F58" s="36">
        <f>Table132[[#This Row],[New position]]-Table132[[#This Row],[Old position]]</f>
        <v>0</v>
      </c>
      <c r="G58" s="37">
        <f>ROUND(Table132[[#This Row],[Target allocation ($)]]/(IF(G83&gt;0, G69,E69)*C18)*100,3)</f>
        <v>3.5390000000000001</v>
      </c>
      <c r="H58" s="42">
        <f>Table132[[#This Row],[New position]]*Table132[[#This Row],[Last_Price]]</f>
        <v>10078049.640000001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63</v>
      </c>
      <c r="B59" s="47" t="s">
        <v>14</v>
      </c>
      <c r="C59" s="49">
        <v>463.58</v>
      </c>
      <c r="D59" s="37">
        <v>13160</v>
      </c>
      <c r="E59" s="37">
        <v>13160</v>
      </c>
      <c r="F59" s="36">
        <f>Table132[[#This Row],[New position]]-Table132[[#This Row],[Old position]]</f>
        <v>0</v>
      </c>
      <c r="G59" s="37">
        <f>ROUND(Table132[[#This Row],[Target allocation ($)]]/(IF(G83&gt;0, G69,E69)*C18)*100,3)</f>
        <v>2.1419999999999999</v>
      </c>
      <c r="H59" s="42">
        <f>Table132[[#This Row],[New position]]*Table132[[#This Row],[Last_Price]]</f>
        <v>6100712.7999999998</v>
      </c>
      <c r="I59" s="29"/>
      <c r="L59" s="53"/>
      <c r="M59"/>
      <c r="N59"/>
      <c r="O59"/>
      <c r="P59"/>
      <c r="Q59"/>
      <c r="R59"/>
    </row>
    <row r="60" spans="1:18" x14ac:dyDescent="0.25">
      <c r="A60" s="47" t="s">
        <v>64</v>
      </c>
      <c r="B60" s="47" t="s">
        <v>14</v>
      </c>
      <c r="C60" s="49">
        <v>110.04</v>
      </c>
      <c r="D60" s="37">
        <v>93168</v>
      </c>
      <c r="E60" s="37">
        <v>93168</v>
      </c>
      <c r="F60" s="36">
        <f>Table132[[#This Row],[New position]]-Table132[[#This Row],[Old position]]</f>
        <v>0</v>
      </c>
      <c r="G60" s="37">
        <f>ROUND(Table132[[#This Row],[Target allocation ($)]]/(IF(G83&gt;0, G69,E69)*C18)*100,3)</f>
        <v>3.6</v>
      </c>
      <c r="H60" s="42">
        <f>Table132[[#This Row],[New position]]*Table132[[#This Row],[Last_Price]]</f>
        <v>10252206.720000001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80</v>
      </c>
      <c r="B61" s="47" t="s">
        <v>14</v>
      </c>
      <c r="C61" s="49">
        <v>36.270000000000003</v>
      </c>
      <c r="D61" s="37">
        <v>229000</v>
      </c>
      <c r="E61" s="37">
        <v>229000</v>
      </c>
      <c r="F61" s="36">
        <f>Table132[[#This Row],[New position]]-Table132[[#This Row],[Old position]]</f>
        <v>0</v>
      </c>
      <c r="G61" s="37">
        <f>ROUND(Table132[[#This Row],[Target allocation ($)]]/(IF(G83&gt;0, G69,E69)*C18)*100,3)</f>
        <v>2.9169999999999998</v>
      </c>
      <c r="H61" s="42">
        <f>Table132[[#This Row],[New position]]*Table132[[#This Row],[Last_Price]]</f>
        <v>8305830.0000000009</v>
      </c>
      <c r="I61" s="58"/>
      <c r="L61" s="53"/>
      <c r="M61"/>
      <c r="N61"/>
      <c r="O61"/>
      <c r="P61"/>
      <c r="Q61"/>
      <c r="R61"/>
    </row>
    <row r="62" spans="1:18" x14ac:dyDescent="0.25">
      <c r="A62" s="47" t="s">
        <v>65</v>
      </c>
      <c r="B62" s="47" t="s">
        <v>14</v>
      </c>
      <c r="C62" s="49">
        <v>39.1</v>
      </c>
      <c r="D62" s="37">
        <v>15560</v>
      </c>
      <c r="E62" s="37">
        <v>15560</v>
      </c>
      <c r="F62" s="36">
        <f>Table132[[#This Row],[New position]]-Table132[[#This Row],[Old position]]</f>
        <v>0</v>
      </c>
      <c r="G62" s="37">
        <f>ROUND(Table132[[#This Row],[Target allocation ($)]]/(IF(G83&gt;0, G69,E69)*C18)*100,3)</f>
        <v>0.214</v>
      </c>
      <c r="H62" s="42">
        <f>Table132[[#This Row],[New position]]*Table132[[#This Row],[Last_Price]]</f>
        <v>608396</v>
      </c>
      <c r="I62" s="29"/>
      <c r="L62" s="53"/>
      <c r="M62"/>
      <c r="N62"/>
      <c r="O62"/>
      <c r="P62"/>
      <c r="Q62"/>
      <c r="R62"/>
    </row>
    <row r="63" spans="1:18" x14ac:dyDescent="0.25">
      <c r="A63" s="47" t="s">
        <v>66</v>
      </c>
      <c r="B63" s="47" t="s">
        <v>14</v>
      </c>
      <c r="C63" s="49">
        <v>160.63999999999999</v>
      </c>
      <c r="D63" s="37">
        <v>10499</v>
      </c>
      <c r="E63" s="37">
        <v>10499</v>
      </c>
      <c r="F63" s="36">
        <f>Table132[[#This Row],[New position]]-Table132[[#This Row],[Old position]]</f>
        <v>0</v>
      </c>
      <c r="G63" s="37">
        <f>ROUND(Table132[[#This Row],[Target allocation ($)]]/(IF(G83&gt;0, G69,E69)*C18)*100,3)</f>
        <v>0.59199999999999997</v>
      </c>
      <c r="H63" s="42">
        <f>Table132[[#This Row],[New position]]*Table132[[#This Row],[Last_Price]]</f>
        <v>1686559.3599999999</v>
      </c>
      <c r="I63" s="58"/>
      <c r="L63" s="53"/>
      <c r="M63"/>
      <c r="N63"/>
      <c r="O63"/>
      <c r="P63"/>
      <c r="Q63"/>
      <c r="R63"/>
    </row>
    <row r="64" spans="1:18" x14ac:dyDescent="0.25">
      <c r="A64" s="47" t="s">
        <v>68</v>
      </c>
      <c r="B64" s="47" t="s">
        <v>14</v>
      </c>
      <c r="C64" s="49">
        <v>188.78</v>
      </c>
      <c r="D64" s="37">
        <v>54286</v>
      </c>
      <c r="E64" s="37">
        <v>54286</v>
      </c>
      <c r="F64" s="36">
        <f>Table132[[#This Row],[New position]]-Table132[[#This Row],[Old position]]</f>
        <v>0</v>
      </c>
      <c r="G64" s="37">
        <f>ROUND(Table132[[#This Row],[Target allocation ($)]]/(IF(G83&gt;0, G69,E69)*C18)*100,3)</f>
        <v>3.5990000000000002</v>
      </c>
      <c r="H64" s="42">
        <f>Table132[[#This Row],[New position]]*Table132[[#This Row],[Last_Price]]</f>
        <v>10248111.08</v>
      </c>
      <c r="I64" s="29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8"/>
      <c r="D65" s="38"/>
      <c r="E65" s="63"/>
      <c r="F65" s="34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6"/>
      <c r="G66" s="37"/>
      <c r="H66" s="49"/>
      <c r="I66" s="58"/>
      <c r="L66" s="53"/>
      <c r="M66"/>
      <c r="N66"/>
      <c r="O66"/>
      <c r="P66"/>
      <c r="Q66"/>
      <c r="R66"/>
    </row>
    <row r="67" spans="1:18" x14ac:dyDescent="0.25">
      <c r="A67" s="47"/>
      <c r="B67" s="47"/>
      <c r="C67" s="49"/>
      <c r="D67" s="37"/>
      <c r="E67" s="37"/>
      <c r="F67" s="34"/>
      <c r="G67" s="37"/>
      <c r="H67" s="49"/>
      <c r="I67" s="51"/>
      <c r="L67"/>
      <c r="M67"/>
      <c r="N67"/>
      <c r="O67"/>
      <c r="P67"/>
      <c r="Q67"/>
      <c r="R67"/>
    </row>
    <row r="68" spans="1:18" x14ac:dyDescent="0.25">
      <c r="A68" s="47"/>
      <c r="B68" s="47"/>
      <c r="C68" s="48"/>
      <c r="D68" s="38"/>
      <c r="E68" s="59" t="s">
        <v>49</v>
      </c>
      <c r="F68" s="34"/>
      <c r="G68" s="60" t="s">
        <v>50</v>
      </c>
      <c r="H68" s="49"/>
      <c r="I68" s="51"/>
      <c r="L68"/>
      <c r="M68"/>
      <c r="N68"/>
      <c r="O68"/>
      <c r="P68"/>
      <c r="Q68"/>
      <c r="R68"/>
    </row>
    <row r="69" spans="1:18" ht="30" x14ac:dyDescent="0.25">
      <c r="A69" s="47" t="s">
        <v>32</v>
      </c>
      <c r="B69" s="47"/>
      <c r="C69" s="48"/>
      <c r="D69" s="38"/>
      <c r="E69" s="37">
        <f xml:space="preserve"> IF(G83&gt;0, (C19+ABS(G83*G69))/C15, C19/C15)</f>
        <v>5.5000000000000009</v>
      </c>
      <c r="F69" s="34"/>
      <c r="G69" s="37">
        <v>5.5</v>
      </c>
      <c r="H69" s="49"/>
      <c r="I69" s="51"/>
      <c r="L69"/>
      <c r="M69"/>
      <c r="N69"/>
      <c r="O69"/>
      <c r="P69"/>
      <c r="Q69"/>
      <c r="R69"/>
    </row>
    <row r="70" spans="1:18" ht="15" customHeight="1" x14ac:dyDescent="0.25">
      <c r="A70" s="37" t="s">
        <v>38</v>
      </c>
      <c r="B70" s="37"/>
      <c r="C70" s="37"/>
      <c r="D70" s="50" t="str">
        <f>Table132[[#This Row],[Symbol]]</f>
        <v>SingleStocks</v>
      </c>
      <c r="E70" s="37">
        <f>ROUND(SUM(G22:G37)/100, 3)</f>
        <v>2.4E-2</v>
      </c>
      <c r="F70" s="50" t="str">
        <f>Table132[[#This Row],[Symbol]]</f>
        <v>SingleStocks</v>
      </c>
      <c r="G70" s="37">
        <f>SUM(H22:H37)/(G69*C18)</f>
        <v>2.437229658541645E-2</v>
      </c>
      <c r="H70" s="37"/>
      <c r="I70" s="30"/>
      <c r="L70"/>
      <c r="M70"/>
      <c r="N70"/>
      <c r="O70"/>
      <c r="P70"/>
      <c r="Q70"/>
      <c r="R70"/>
    </row>
    <row r="71" spans="1:18" ht="15" customHeight="1" x14ac:dyDescent="0.25">
      <c r="A71" s="47" t="s">
        <v>84</v>
      </c>
      <c r="B71" s="47"/>
      <c r="C71" s="48"/>
      <c r="D71" s="50" t="str">
        <f>Table132[[#This Row],[Symbol]]</f>
        <v>Semiconductor</v>
      </c>
      <c r="E71" s="37">
        <f>ROUND(SUM(G38)/100, 3)</f>
        <v>1.7000000000000001E-2</v>
      </c>
      <c r="F71" s="50" t="str">
        <f>Table132[[#This Row],[Symbol]]</f>
        <v>Semiconductor</v>
      </c>
      <c r="G71" s="37">
        <f>SUM(H38)/(G69*C18)</f>
        <v>1.7161658699349831E-2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85</v>
      </c>
      <c r="B72" s="47"/>
      <c r="C72" s="48"/>
      <c r="D72" s="50" t="str">
        <f>Table132[[#This Row],[Symbol]]</f>
        <v>Small Cap</v>
      </c>
      <c r="E72" s="56">
        <f>ROUND(SUM(G39)/100, 3)</f>
        <v>6.8000000000000005E-2</v>
      </c>
      <c r="F72" s="50" t="str">
        <f>Table132[[#This Row],[Symbol]]</f>
        <v>Small Cap</v>
      </c>
      <c r="G72" s="56">
        <f>SUM(H39)/(G69*C18)</f>
        <v>6.8408047127099511E-2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72</v>
      </c>
      <c r="B73" s="47"/>
      <c r="C73" s="48"/>
      <c r="D73" s="50" t="str">
        <f>Table132[[#This Row],[Symbol]]</f>
        <v>S&amp;P</v>
      </c>
      <c r="E73" s="37">
        <f>ROUND(SUM(G40:G41)/100, 3)</f>
        <v>8.1000000000000003E-2</v>
      </c>
      <c r="F73" s="50" t="str">
        <f>Table132[[#This Row],[Symbol]]</f>
        <v>S&amp;P</v>
      </c>
      <c r="G73" s="37">
        <f>SUM(H40:H41)/(G69*C18)</f>
        <v>8.1284369076620719E-2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73</v>
      </c>
      <c r="B74" s="47"/>
      <c r="C74" s="48"/>
      <c r="D74" s="50" t="str">
        <f>Table132[[#This Row],[Symbol]]</f>
        <v>Dow Jones</v>
      </c>
      <c r="E74" s="37">
        <f>ROUND(SUM(G42)/100, 3)</f>
        <v>2.1000000000000001E-2</v>
      </c>
      <c r="F74" s="50" t="str">
        <f>Table132[[#This Row],[Symbol]]</f>
        <v>Dow Jones</v>
      </c>
      <c r="G74" s="37">
        <f>SUM(H42)/(G69*C18)</f>
        <v>2.0519922851266529E-2</v>
      </c>
      <c r="H74" s="49"/>
      <c r="I74" s="57"/>
      <c r="L74"/>
      <c r="M74"/>
      <c r="N74"/>
      <c r="O74"/>
      <c r="P74"/>
      <c r="Q74"/>
      <c r="R74"/>
    </row>
    <row r="75" spans="1:18" ht="14.25" customHeight="1" x14ac:dyDescent="0.25">
      <c r="A75" s="47" t="s">
        <v>83</v>
      </c>
      <c r="B75" s="47"/>
      <c r="C75" s="48"/>
      <c r="D75" s="50" t="str">
        <f>Table132[[#This Row],[Symbol]]</f>
        <v>Int Stocks</v>
      </c>
      <c r="E75" s="37">
        <f>ROUND(SUM(G43:G48)/100, 3)</f>
        <v>8.9999999999999993E-3</v>
      </c>
      <c r="F75" s="50" t="str">
        <f>Table132[[#This Row],[Symbol]]</f>
        <v>Int Stocks</v>
      </c>
      <c r="G75" s="37">
        <f>SUM(H43:H48)/(G69*C18)</f>
        <v>8.9684021127665516E-3</v>
      </c>
      <c r="H75" s="49"/>
      <c r="I75" s="57"/>
      <c r="L75"/>
      <c r="M75"/>
      <c r="N75"/>
      <c r="O75"/>
      <c r="P75"/>
      <c r="Q75"/>
      <c r="R75"/>
    </row>
    <row r="76" spans="1:18" ht="15.75" customHeight="1" x14ac:dyDescent="0.25">
      <c r="A76" s="47" t="s">
        <v>11</v>
      </c>
      <c r="B76" s="47"/>
      <c r="C76" s="48"/>
      <c r="D76" s="50" t="str">
        <f>Table132[[#This Row],[Symbol]]</f>
        <v>QQQ</v>
      </c>
      <c r="E76" s="56">
        <f>ROUND(SUM(G49:G50)/100, 3)</f>
        <v>0.27100000000000002</v>
      </c>
      <c r="F76" s="50" t="str">
        <f>Table132[[#This Row],[Symbol]]</f>
        <v>QQQ</v>
      </c>
      <c r="G76" s="56">
        <f>SUM(H49:H50)/(G69*C18)</f>
        <v>0.27097726074625161</v>
      </c>
      <c r="H76" s="49"/>
      <c r="I76" s="30"/>
      <c r="L76"/>
      <c r="M76"/>
      <c r="N76"/>
      <c r="O76"/>
      <c r="P76"/>
      <c r="Q76"/>
      <c r="R76"/>
    </row>
    <row r="77" spans="1:18" ht="15.75" customHeight="1" x14ac:dyDescent="0.25">
      <c r="A77" s="64" t="s">
        <v>86</v>
      </c>
      <c r="B77" s="47"/>
      <c r="C77" s="48"/>
      <c r="D77" s="50" t="str">
        <f>Table132[[#This Row],[Symbol]]</f>
        <v>Regional Bank</v>
      </c>
      <c r="E77" s="56">
        <f>ROUND(SUM(G51)/100, 3)</f>
        <v>8.9999999999999993E-3</v>
      </c>
      <c r="F77" s="50" t="str">
        <f>Table132[[#This Row],[Symbol]]</f>
        <v>Regional Bank</v>
      </c>
      <c r="G77" s="56">
        <f>SUM(H51)/(G69*C18)</f>
        <v>9.0093631054237767E-3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37" t="s">
        <v>27</v>
      </c>
      <c r="B78" s="47"/>
      <c r="C78" s="48"/>
      <c r="D78" s="50" t="str">
        <f>Table132[[#This Row],[Symbol]]</f>
        <v>Bonds</v>
      </c>
      <c r="E78" s="37">
        <f>ROUND(SUM(G53:G61)/100, 3)</f>
        <v>0.32800000000000001</v>
      </c>
      <c r="F78" s="50" t="str">
        <f>Table132[[#This Row],[Symbol]]</f>
        <v>Bonds</v>
      </c>
      <c r="G78" s="37">
        <f>SUM(H53:H61)/(G69*C18)</f>
        <v>0.32846756039450781</v>
      </c>
      <c r="H78" s="49"/>
      <c r="I78" s="30"/>
      <c r="L78"/>
      <c r="M78"/>
      <c r="N78"/>
      <c r="O78"/>
      <c r="P78"/>
      <c r="Q78"/>
      <c r="R78"/>
    </row>
    <row r="79" spans="1:18" ht="14.25" customHeight="1" x14ac:dyDescent="0.25">
      <c r="A79" s="47" t="s">
        <v>40</v>
      </c>
      <c r="B79" s="37"/>
      <c r="C79" s="37"/>
      <c r="D79" s="50" t="str">
        <f>Table132[[#This Row],[Symbol]]</f>
        <v>Gold</v>
      </c>
      <c r="E79" s="37">
        <f>ROUND(SUM(G64)/100,3)</f>
        <v>3.5999999999999997E-2</v>
      </c>
      <c r="F79" s="50" t="str">
        <f>Table132[[#This Row],[Symbol]]</f>
        <v>Gold</v>
      </c>
      <c r="G79" s="37">
        <f>SUM(H64)/(G69*C18)</f>
        <v>3.598690892052795E-2</v>
      </c>
      <c r="H79" s="37"/>
      <c r="I79" s="31"/>
      <c r="L79"/>
      <c r="M79"/>
      <c r="N79"/>
      <c r="O79"/>
      <c r="P79"/>
      <c r="Q79"/>
      <c r="R79"/>
    </row>
    <row r="80" spans="1:18" ht="15" customHeight="1" x14ac:dyDescent="0.25">
      <c r="A80" s="37" t="s">
        <v>28</v>
      </c>
      <c r="B80" s="37"/>
      <c r="C80" s="37"/>
      <c r="D80" s="50" t="str">
        <f>Table132[[#This Row],[Symbol]]</f>
        <v>Commodities</v>
      </c>
      <c r="E80" s="37">
        <f>ROUND(SUM(G52)/100,3)</f>
        <v>4.0000000000000001E-3</v>
      </c>
      <c r="F80" s="50" t="str">
        <f>Table132[[#This Row],[Symbol]]</f>
        <v>Commodities</v>
      </c>
      <c r="G80" s="37">
        <f>SUM(H52)/(G69*C18)</f>
        <v>4.4744007828051097E-3</v>
      </c>
      <c r="H80" s="37"/>
      <c r="I80" s="32"/>
      <c r="L80"/>
      <c r="M80"/>
      <c r="N80"/>
      <c r="O80"/>
      <c r="P80"/>
      <c r="Q80"/>
      <c r="R80"/>
    </row>
    <row r="81" spans="1:18" ht="14.25" customHeight="1" x14ac:dyDescent="0.25">
      <c r="A81" s="47" t="s">
        <v>39</v>
      </c>
      <c r="B81" s="47"/>
      <c r="C81" s="48"/>
      <c r="D81" s="50" t="str">
        <f>Table132[[#This Row],[Symbol]]</f>
        <v>Crypto</v>
      </c>
      <c r="E81" s="56">
        <f>ROUND(SUM(G62:G63)/100,3)</f>
        <v>8.0000000000000002E-3</v>
      </c>
      <c r="F81" s="50" t="str">
        <f>Table132[[#This Row],[Symbol]]</f>
        <v>Crypto</v>
      </c>
      <c r="G81" s="56">
        <f>SUM(H62:H63)/(G69*C18)</f>
        <v>8.058885083532627E-3</v>
      </c>
      <c r="H81" s="49"/>
      <c r="I81" s="55"/>
      <c r="L81"/>
      <c r="M81"/>
      <c r="N81"/>
      <c r="O81"/>
      <c r="P81"/>
      <c r="Q81"/>
      <c r="R81"/>
    </row>
    <row r="82" spans="1:18" ht="14.25" customHeight="1" x14ac:dyDescent="0.25">
      <c r="A82" s="37" t="s">
        <v>23</v>
      </c>
      <c r="B82" s="37"/>
      <c r="C82" s="37"/>
      <c r="D82" s="50" t="str">
        <f>Table132[[#This Row],[Symbol]]</f>
        <v>Cash</v>
      </c>
      <c r="E82" s="37">
        <f>1-SUM(E70:E81)</f>
        <v>0.12399999999999989</v>
      </c>
      <c r="F82" s="50" t="str">
        <f>Table132[[#This Row],[Symbol]]</f>
        <v>Cash</v>
      </c>
      <c r="G82" s="37">
        <f>1-SUM(G70:G81)</f>
        <v>0.1223109245144316</v>
      </c>
      <c r="H82" s="37"/>
      <c r="I82" s="30"/>
      <c r="L82"/>
      <c r="M82"/>
      <c r="N82"/>
      <c r="O82"/>
      <c r="P82"/>
      <c r="Q82"/>
      <c r="R82"/>
    </row>
    <row r="83" spans="1:18" x14ac:dyDescent="0.25">
      <c r="A83" s="27" t="s">
        <v>29</v>
      </c>
      <c r="B83" s="27"/>
      <c r="C83" s="35"/>
      <c r="D83" s="34"/>
      <c r="E83" s="27">
        <f>C18*E82</f>
        <v>6420343.6599999946</v>
      </c>
      <c r="F83" s="34"/>
      <c r="G83" s="37">
        <f>C18*G82</f>
        <v>6332888.4577013664</v>
      </c>
      <c r="H83" s="42"/>
      <c r="I83" s="33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27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7"/>
      <c r="B86" s="27"/>
      <c r="C86" s="35"/>
      <c r="D86" s="27"/>
      <c r="E86" s="27"/>
      <c r="F86" s="34"/>
      <c r="G86" s="37"/>
      <c r="H86" s="42"/>
      <c r="I86" s="30"/>
      <c r="L86"/>
      <c r="M86"/>
      <c r="N86"/>
      <c r="O86"/>
      <c r="P86"/>
      <c r="Q86"/>
      <c r="R86"/>
    </row>
    <row r="87" spans="1:18" x14ac:dyDescent="0.25">
      <c r="A87" s="21"/>
      <c r="B87" s="5" t="s">
        <v>21</v>
      </c>
      <c r="D87" s="1"/>
      <c r="E87" s="5" t="s">
        <v>20</v>
      </c>
      <c r="F87" s="1"/>
      <c r="G87" s="5"/>
      <c r="H87" s="43" t="s">
        <v>2</v>
      </c>
      <c r="I87" s="4"/>
      <c r="L87"/>
      <c r="M87"/>
      <c r="N87"/>
      <c r="O87"/>
      <c r="P87"/>
      <c r="Q87"/>
      <c r="R87"/>
    </row>
    <row r="88" spans="1:18" x14ac:dyDescent="0.25">
      <c r="B88" s="5" t="s">
        <v>24</v>
      </c>
      <c r="D88" s="1"/>
      <c r="E88" s="5" t="s">
        <v>24</v>
      </c>
      <c r="F88" s="1"/>
      <c r="G88" s="5"/>
      <c r="H88" s="43" t="s">
        <v>3</v>
      </c>
      <c r="L88"/>
      <c r="M88"/>
      <c r="N88"/>
      <c r="O88"/>
      <c r="P88"/>
      <c r="Q88"/>
      <c r="R88"/>
    </row>
    <row r="89" spans="1:18" x14ac:dyDescent="0.25">
      <c r="B89" s="3"/>
      <c r="C89"/>
      <c r="D89" s="1"/>
      <c r="E89" s="3"/>
      <c r="F89" s="20"/>
      <c r="G89" s="3"/>
      <c r="H89" s="44"/>
      <c r="L89"/>
      <c r="M89"/>
      <c r="N89"/>
      <c r="O89"/>
      <c r="P89"/>
      <c r="Q89"/>
      <c r="R89"/>
    </row>
    <row r="90" spans="1:18" x14ac:dyDescent="0.25">
      <c r="C90"/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  <row r="94" spans="1:18" x14ac:dyDescent="0.25">
      <c r="L94"/>
      <c r="M94"/>
      <c r="N94"/>
      <c r="O94"/>
      <c r="P94"/>
      <c r="Q94"/>
      <c r="R94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2023-12-20T10:53:48Z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