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303" documentId="14_{A48F4B07-3EF3-43E5-91B2-4CA340E6013A}" xr6:coauthVersionLast="47" xr6:coauthVersionMax="47" xr10:uidLastSave="{984D2A62-2EDE-47F6-8D64-9796B4A6CD7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G77" i="3"/>
  <c r="G75" i="3"/>
  <c r="H64" i="3" l="1"/>
  <c r="F64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F75" i="3"/>
  <c r="F73" i="3"/>
  <c r="F72" i="3"/>
  <c r="F71" i="3"/>
  <c r="F70" i="3"/>
  <c r="F77" i="3"/>
  <c r="F47" i="3"/>
  <c r="F48" i="3"/>
  <c r="H63" i="3" l="1"/>
  <c r="F62" i="3"/>
  <c r="F63" i="3"/>
  <c r="F22" i="3"/>
  <c r="H22" i="3"/>
  <c r="F23" i="3"/>
  <c r="H23" i="3"/>
  <c r="F24" i="3"/>
  <c r="H24" i="3"/>
  <c r="F25" i="3"/>
  <c r="H25" i="3"/>
  <c r="H62" i="3" l="1"/>
  <c r="F74" i="3" l="1"/>
  <c r="F76" i="3"/>
  <c r="F78" i="3"/>
  <c r="F79" i="3"/>
  <c r="F80" i="3"/>
  <c r="F81" i="3"/>
  <c r="F82" i="3"/>
  <c r="H61" i="3"/>
  <c r="F61" i="3"/>
  <c r="H43" i="3" l="1"/>
  <c r="H60" i="3"/>
  <c r="F60" i="3" l="1"/>
  <c r="H42" i="3" l="1"/>
  <c r="H44" i="3"/>
  <c r="H45" i="3"/>
  <c r="H46" i="3"/>
  <c r="H51" i="3"/>
  <c r="H47" i="3"/>
  <c r="H48" i="3"/>
  <c r="H49" i="3"/>
  <c r="H50" i="3"/>
  <c r="H52" i="3"/>
  <c r="H53" i="3"/>
  <c r="H54" i="3"/>
  <c r="H55" i="3"/>
  <c r="H56" i="3"/>
  <c r="H57" i="3"/>
  <c r="H58" i="3"/>
  <c r="H59" i="3"/>
  <c r="F42" i="3"/>
  <c r="F43" i="3"/>
  <c r="F44" i="3"/>
  <c r="F45" i="3"/>
  <c r="F46" i="3"/>
  <c r="F51" i="3"/>
  <c r="F49" i="3"/>
  <c r="F50" i="3"/>
  <c r="F52" i="3"/>
  <c r="F53" i="3"/>
  <c r="F54" i="3"/>
  <c r="F55" i="3"/>
  <c r="F56" i="3"/>
  <c r="F57" i="3"/>
  <c r="F58" i="3"/>
  <c r="F59" i="3"/>
  <c r="G76" i="3" l="1"/>
  <c r="C9" i="3"/>
  <c r="F34" i="3"/>
  <c r="F35" i="3"/>
  <c r="F36" i="3"/>
  <c r="F37" i="3"/>
  <c r="F38" i="3"/>
  <c r="F39" i="3"/>
  <c r="F40" i="3"/>
  <c r="F41" i="3"/>
  <c r="H40" i="3"/>
  <c r="H41" i="3"/>
  <c r="H34" i="3" l="1"/>
  <c r="H35" i="3"/>
  <c r="H38" i="3" l="1"/>
  <c r="H39" i="3"/>
  <c r="H32" i="3"/>
  <c r="H37" i="3"/>
  <c r="H33" i="3" l="1"/>
  <c r="H31" i="3" l="1"/>
  <c r="H30" i="3"/>
  <c r="H29" i="3"/>
  <c r="H36" i="3"/>
  <c r="H26" i="3" l="1"/>
  <c r="H27" i="3"/>
  <c r="H28" i="3"/>
  <c r="C19" i="3" l="1" a="1"/>
  <c r="C19" i="3" s="1"/>
  <c r="C10" i="3" s="1"/>
  <c r="F31" i="3"/>
  <c r="F29" i="3"/>
  <c r="F33" i="3"/>
  <c r="F26" i="3" l="1"/>
  <c r="F27" i="3"/>
  <c r="F28" i="3"/>
  <c r="F30" i="3"/>
  <c r="F32" i="3"/>
  <c r="C18" i="3"/>
  <c r="C13" i="3" l="1"/>
  <c r="G79" i="3"/>
  <c r="G81" i="3"/>
  <c r="C14" i="3"/>
  <c r="G78" i="3"/>
  <c r="C11" i="3"/>
  <c r="C12" i="3"/>
  <c r="G80" i="3"/>
  <c r="G74" i="3"/>
  <c r="C7" i="3"/>
  <c r="G73" i="3"/>
  <c r="C6" i="3"/>
  <c r="G72" i="3"/>
  <c r="G71" i="3"/>
  <c r="C4" i="3"/>
  <c r="C5" i="3"/>
  <c r="G70" i="3"/>
  <c r="C3" i="3"/>
  <c r="C2" i="3"/>
  <c r="G82" i="3" l="1"/>
  <c r="G83" i="3" s="1"/>
  <c r="E69" i="3" l="1"/>
  <c r="G51" i="3" s="1"/>
  <c r="E77" i="3" s="1"/>
  <c r="G63" i="3" l="1"/>
  <c r="G64" i="3"/>
  <c r="E79" i="3" s="1"/>
  <c r="G26" i="3"/>
  <c r="G23" i="3"/>
  <c r="G25" i="3"/>
  <c r="G22" i="3"/>
  <c r="G24" i="3"/>
  <c r="G62" i="3"/>
  <c r="G61" i="3"/>
  <c r="G59" i="3"/>
  <c r="G47" i="3"/>
  <c r="G48" i="3"/>
  <c r="G40" i="3"/>
  <c r="G60" i="3"/>
  <c r="G55" i="3"/>
  <c r="G52" i="3"/>
  <c r="E80" i="3" s="1"/>
  <c r="G56" i="3"/>
  <c r="G41" i="3"/>
  <c r="G54" i="3"/>
  <c r="G42" i="3"/>
  <c r="E74" i="3" s="1"/>
  <c r="G34" i="3"/>
  <c r="G39" i="3"/>
  <c r="E72" i="3" s="1"/>
  <c r="G46" i="3"/>
  <c r="G44" i="3"/>
  <c r="G49" i="3"/>
  <c r="G50" i="3"/>
  <c r="G57" i="3"/>
  <c r="G43" i="3"/>
  <c r="G58" i="3"/>
  <c r="G35" i="3"/>
  <c r="G45" i="3"/>
  <c r="G31" i="3"/>
  <c r="G53" i="3"/>
  <c r="G27" i="3"/>
  <c r="G28" i="3"/>
  <c r="G33" i="3"/>
  <c r="G37" i="3"/>
  <c r="G36" i="3"/>
  <c r="G29" i="3"/>
  <c r="G32" i="3"/>
  <c r="G38" i="3"/>
  <c r="E71" i="3" s="1"/>
  <c r="G30" i="3"/>
  <c r="E76" i="3" l="1"/>
  <c r="E78" i="3"/>
  <c r="E75" i="3"/>
  <c r="E81" i="3"/>
  <c r="E73" i="3"/>
  <c r="E70" i="3"/>
  <c r="E82" i="3" l="1"/>
  <c r="E83" i="3" s="1"/>
</calcChain>
</file>

<file path=xl/sharedStrings.xml><?xml version="1.0" encoding="utf-8"?>
<sst xmlns="http://schemas.openxmlformats.org/spreadsheetml/2006/main" count="134" uniqueCount="90">
  <si>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</si>
  <si>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</si>
  <si>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</si>
  <si>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</si>
  <si>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</si>
  <si>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</si>
  <si>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</si>
  <si>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</si>
  <si>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</si>
  <si>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</si>
  <si>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</si>
  <si>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</si>
  <si>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</si>
  <si>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</si>
  <si>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</si>
  <si>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</si>
  <si>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</si>
  <si>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</si>
  <si>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</si>
  <si>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</si>
  <si>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</si>
  <si>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</si>
  <si>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</si>
  <si>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</si>
  <si>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</si>
  <si>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</si>
  <si>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</si>
  <si>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</si>
  <si>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</si>
  <si>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</si>
  <si>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</si>
  <si>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</si>
  <si>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</si>
  <si>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</si>
  <si>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</si>
  <si>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</si>
  <si>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</si>
  <si>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</si>
  <si>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</si>
  <si>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</si>
  <si>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</si>
  <si>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</si>
  <si>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</si>
  <si>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</si>
  <si>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</si>
  <si>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</si>
  <si>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</si>
  <si>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</si>
  <si>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</si>
  <si>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</si>
  <si>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</si>
  <si>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</si>
  <si>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</si>
  <si>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</si>
  <si>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</si>
  <si>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</si>
  <si>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</si>
  <si>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</si>
  <si>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</si>
  <si>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</si>
  <si>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</si>
  <si>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</si>
  <si>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</si>
  <si>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</si>
  <si>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</si>
  <si>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</si>
  <si>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</si>
  <si>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</si>
  <si>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</si>
  <si>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</si>
  <si>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</si>
  <si>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</si>
  <si>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</si>
  <si>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</si>
  <si>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</si>
  <si>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</si>
  <si>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</si>
  <si>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HOOD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</si>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</sst>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Sheet1!$D$70:$D$82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Sheet1!$E$70:$E$82</c:f>
              <c:numCache>
                <c:formatCode>General</c:formatCode>
                <c:ptCount val="13"/>
                <c:pt idx="0">
                  <c:v>2.3E-2</c:v>
                </c:pt>
                <c:pt idx="1">
                  <c:v>1.7999999999999999E-2</c:v>
                </c:pt>
                <c:pt idx="2">
                  <c:v>7.1999999999999995E-2</c:v>
                </c:pt>
                <c:pt idx="3">
                  <c:v>8.5000000000000006E-2</c:v>
                </c:pt>
                <c:pt idx="4">
                  <c:v>2.1000000000000001E-2</c:v>
                </c:pt>
                <c:pt idx="5">
                  <c:v>0.01</c:v>
                </c:pt>
                <c:pt idx="6">
                  <c:v>0.28999999999999998</c:v>
                </c:pt>
                <c:pt idx="7">
                  <c:v>8.9999999999999993E-3</c:v>
                </c:pt>
                <c:pt idx="8">
                  <c:v>0.35099999999999998</c:v>
                </c:pt>
                <c:pt idx="9">
                  <c:v>3.7999999999999999E-2</c:v>
                </c:pt>
                <c:pt idx="10">
                  <c:v>5.0000000000000001E-3</c:v>
                </c:pt>
                <c:pt idx="11">
                  <c:v>3.0000000000000001E-3</c:v>
                </c:pt>
                <c:pt idx="12">
                  <c:v>7.4999999999999956E-2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6" totalsRowShown="0" headerRowDxfId="13" dataDxfId="11" headerRowBorderDxfId="12" tableBorderDxfId="10" totalsRowBorderDxfId="9">
  <autoFilter ref="A21:I86" xr:uid="{00000000-0009-0000-0100-000001000000}"/>
  <sortState xmlns:xlrd2="http://schemas.microsoft.com/office/spreadsheetml/2017/richdata2" ref="A22:I85">
    <sortCondition ref="A21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4"/>
  <sheetViews>
    <sheetView tabSelected="1" topLeftCell="A34" zoomScale="115" zoomScaleNormal="115" workbookViewId="0">
      <selection activeCell="F56" sqref="F5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45281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5.0841594851001251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SUM(H22:H37)/C18</f>
        <v>0.12542817784939364</v>
      </c>
      <c r="D3"/>
      <c r="E3" s="24"/>
      <c r="F3" s="17"/>
      <c r="G3" s="17"/>
      <c r="H3" s="16"/>
    </row>
    <row r="4" spans="1:8" s="13" customFormat="1" x14ac:dyDescent="0.25">
      <c r="A4" s="61" t="s">
        <v>79</v>
      </c>
      <c r="B4" s="62"/>
      <c r="C4" s="15">
        <f>SUM(H38)/C18</f>
        <v>9.7143798630234812E-2</v>
      </c>
      <c r="D4"/>
      <c r="E4" s="24"/>
      <c r="F4" s="17"/>
      <c r="G4" s="17"/>
      <c r="H4" s="16"/>
    </row>
    <row r="5" spans="1:8" s="13" customFormat="1" x14ac:dyDescent="0.25">
      <c r="A5" s="67" t="s">
        <v>74</v>
      </c>
      <c r="B5" s="68"/>
      <c r="C5" s="15">
        <f>SUM(H39)/C18</f>
        <v>0.39574725124173454</v>
      </c>
      <c r="D5"/>
      <c r="E5" s="24"/>
      <c r="F5" s="17"/>
      <c r="G5" s="17"/>
      <c r="H5" s="16"/>
    </row>
    <row r="6" spans="1:8" s="13" customFormat="1" x14ac:dyDescent="0.25">
      <c r="A6" s="61" t="s">
        <v>70</v>
      </c>
      <c r="B6" s="62"/>
      <c r="C6" s="15">
        <f>SUM(H40:H41)/C18</f>
        <v>0.46603704554041847</v>
      </c>
      <c r="D6"/>
      <c r="E6" s="24"/>
      <c r="F6" s="17"/>
      <c r="G6" s="17"/>
      <c r="H6" s="16"/>
    </row>
    <row r="7" spans="1:8" s="13" customFormat="1" x14ac:dyDescent="0.25">
      <c r="A7" s="61" t="s">
        <v>75</v>
      </c>
      <c r="B7" s="62"/>
      <c r="C7" s="15">
        <f>SUM(H42)/C18</f>
        <v>0.11810346007569814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SUM(H43:H48)/C18</f>
        <v>5.253928158679131E-2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SUM(H49:H50)/C18</f>
        <v>1.5943256510259387</v>
      </c>
      <c r="D9"/>
      <c r="E9" s="24"/>
      <c r="F9" s="17"/>
      <c r="G9" s="17"/>
      <c r="H9" s="16"/>
    </row>
    <row r="10" spans="1:8" s="13" customFormat="1" x14ac:dyDescent="0.25">
      <c r="A10" s="61" t="s">
        <v>87</v>
      </c>
      <c r="B10" s="62"/>
      <c r="C10" s="15">
        <f>SUM(H51)/C19</f>
        <v>9.8807848775930851E-3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SUM(H53:H61)/C18</f>
        <v>1.9312990360101465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SUM(H52)/C18</f>
        <v>2.6323104638426579E-2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SUM(H64)/C18</f>
        <v>0.21161394495871141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SUM(H62:H63)/C18</f>
        <v>1.5363247386982627E-2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48364202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48364202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245891316.33759844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44.24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($)]]/(IF(G83&gt;0, G69,E69)*C18)*100,3)</f>
        <v>0.21099999999999999</v>
      </c>
      <c r="H22" s="42">
        <f>Table132[[#This Row],[New position]]*Table132[[#This Row],[Last_Price]]</f>
        <v>562069.20000000007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199.79</v>
      </c>
      <c r="D23" s="37">
        <v>1361</v>
      </c>
      <c r="E23" s="37">
        <v>1361</v>
      </c>
      <c r="F23" s="36">
        <f>Table132[[#This Row],[New position]]-Table132[[#This Row],[Old position]]</f>
        <v>0</v>
      </c>
      <c r="G23" s="37">
        <f>ROUND(Table132[[#This Row],[Target allocation ($)]]/(IF(G83&gt;0, G69,E69)*C18)*100,3)</f>
        <v>0.10199999999999999</v>
      </c>
      <c r="H23" s="42">
        <f>Table132[[#This Row],[New position]]*Table132[[#This Row],[Last_Price]]</f>
        <v>271914.19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2313.87</v>
      </c>
      <c r="D24" s="37">
        <v>122</v>
      </c>
      <c r="E24" s="37">
        <v>122</v>
      </c>
      <c r="F24" s="36">
        <f>Table132[[#This Row],[New position]]-Table132[[#This Row],[Old position]]</f>
        <v>0</v>
      </c>
      <c r="G24" s="37">
        <f>ROUND(Table132[[#This Row],[Target allocation ($)]]/(IF(G83&gt;0, G69,E69)*C18)*100,3)</f>
        <v>0.106</v>
      </c>
      <c r="H24" s="42">
        <f>Table132[[#This Row],[New position]]*Table132[[#This Row],[Last_Price]]</f>
        <v>282292.14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195.89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($)]]/(IF(G83&gt;0, G69,E69)*C18)*100,3)</f>
        <v>0.20899999999999999</v>
      </c>
      <c r="H25" s="42">
        <f>Table132[[#This Row],[New position]]*Table132[[#This Row],[Last_Price]]</f>
        <v>556131.71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372.19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($)]]/(IF(G83&gt;0, G69,E69)*C18)*100,3)</f>
        <v>0.20100000000000001</v>
      </c>
      <c r="H26" s="42">
        <f>Table132[[#This Row],[New position]]*Table132[[#This Row],[Last_Price]]</f>
        <v>534464.84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139.41999999999999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($)]]/(IF(G83&gt;0, G69,E69)*C18)*100,3)</f>
        <v>0.20699999999999999</v>
      </c>
      <c r="H27" s="42">
        <f>Table132[[#This Row],[New position]]*Table132[[#This Row],[Last_Price]]</f>
        <v>550011.89999999991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40.5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($)]]/(IF(G83&gt;0, G69,E69)*C18)*100,3)</f>
        <v>0.10299999999999999</v>
      </c>
      <c r="H28" s="42">
        <f>Table132[[#This Row],[New position]]*Table132[[#This Row],[Last_Price]]</f>
        <v>273618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570.29999999999995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($)]]/(IF(G83&gt;0, G69,E69)*C18)*100,3)</f>
        <v>0.19600000000000001</v>
      </c>
      <c r="H29" s="42">
        <f>Table132[[#This Row],[New position]]*Table132[[#This Row],[Last_Price]]</f>
        <v>521254.19999999995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123.82</v>
      </c>
      <c r="D30" s="37">
        <v>3609</v>
      </c>
      <c r="E30" s="37">
        <v>0</v>
      </c>
      <c r="F30" s="36">
        <f>Table132[[#This Row],[New position]]-Table132[[#This Row],[Old position]]</f>
        <v>-3609</v>
      </c>
      <c r="G30" s="37">
        <f>ROUND(Table132[[#This Row],[Target allocation ($)]]/(IF(G83&gt;0, G69,E69)*C18)*100,3)</f>
        <v>0</v>
      </c>
      <c r="H30" s="42">
        <f>Table132[[#This Row],[New position]]*Table132[[#This Row],[Last_Price]]</f>
        <v>0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735.3</v>
      </c>
      <c r="D31" s="37">
        <v>492</v>
      </c>
      <c r="E31" s="37">
        <v>492</v>
      </c>
      <c r="F31" s="36">
        <f>Table132[[#This Row],[New position]]-Table132[[#This Row],[Old position]]</f>
        <v>0</v>
      </c>
      <c r="G31" s="37">
        <f>ROUND(Table132[[#This Row],[Target allocation ($)]]/(IF(G83&gt;0, G69,E69)*C18)*100,3)</f>
        <v>0.13600000000000001</v>
      </c>
      <c r="H31" s="42">
        <f>Table132[[#This Row],[New position]]*Table132[[#This Row],[Last_Price]]</f>
        <v>361767.6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336.13</v>
      </c>
      <c r="D32" s="37">
        <v>1531</v>
      </c>
      <c r="E32" s="37">
        <v>1531</v>
      </c>
      <c r="F32" s="36">
        <f>Table132[[#This Row],[New position]]-Table132[[#This Row],[Old position]]</f>
        <v>0</v>
      </c>
      <c r="G32" s="37">
        <f>ROUND(Table132[[#This Row],[Target allocation ($)]]/(IF(G83&gt;0, G69,E69)*C18)*100,3)</f>
        <v>0.193</v>
      </c>
      <c r="H32" s="42">
        <f>Table132[[#This Row],[New position]]*Table132[[#This Row],[Last_Price]]</f>
        <v>514615.02999999997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61</v>
      </c>
      <c r="B33" s="37" t="s">
        <v>14</v>
      </c>
      <c r="C33" s="49">
        <v>348.66</v>
      </c>
      <c r="D33" s="37">
        <v>1326</v>
      </c>
      <c r="E33" s="37">
        <v>1326</v>
      </c>
      <c r="F33" s="36">
        <f>Table132[[#This Row],[New position]]-Table132[[#This Row],[Old position]]</f>
        <v>0</v>
      </c>
      <c r="G33" s="37">
        <f>ROUND(Table132[[#This Row],[Target allocation ($)]]/(IF(G83&gt;0, G69,E69)*C18)*100,3)</f>
        <v>0.17399999999999999</v>
      </c>
      <c r="H33" s="42">
        <f>Table132[[#This Row],[New position]]*Table132[[#This Row],[Last_Price]]</f>
        <v>462323.16000000003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62</v>
      </c>
      <c r="B34" s="37" t="s">
        <v>14</v>
      </c>
      <c r="C34" s="49">
        <v>128.59</v>
      </c>
      <c r="D34" s="37">
        <v>3304</v>
      </c>
      <c r="E34" s="37">
        <v>3304</v>
      </c>
      <c r="F34" s="36">
        <f>Table132[[#This Row],[New position]]-Table132[[#This Row],[Old position]]</f>
        <v>0</v>
      </c>
      <c r="G34" s="37">
        <f>ROUND(Table132[[#This Row],[Target allocation ($)]]/(IF(G83&gt;0, G69,E69)*C18)*100,3)</f>
        <v>0.16</v>
      </c>
      <c r="H34" s="42">
        <f>Table132[[#This Row],[New position]]*Table132[[#This Row],[Last_Price]]</f>
        <v>424861.36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67</v>
      </c>
      <c r="B35" s="37" t="s">
        <v>14</v>
      </c>
      <c r="C35" s="49">
        <v>149.9</v>
      </c>
      <c r="D35" s="37">
        <v>2704</v>
      </c>
      <c r="E35" s="37">
        <v>2704</v>
      </c>
      <c r="F35" s="36">
        <f>Table132[[#This Row],[New position]]-Table132[[#This Row],[Old position]]</f>
        <v>0</v>
      </c>
      <c r="G35" s="37">
        <f>ROUND(Table132[[#This Row],[Target allocation ($)]]/(IF(G83&gt;0, G69,E69)*C18)*100,3)</f>
        <v>0.152</v>
      </c>
      <c r="H35" s="42">
        <f>Table132[[#This Row],[New position]]*Table132[[#This Row],[Last_Price]]</f>
        <v>405329.60000000003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69</v>
      </c>
      <c r="B36" s="37" t="s">
        <v>14</v>
      </c>
      <c r="C36" s="49">
        <v>105.36</v>
      </c>
      <c r="D36" s="37">
        <v>3280</v>
      </c>
      <c r="E36" s="37">
        <v>3280</v>
      </c>
      <c r="F36" s="36">
        <f>Table132[[#This Row],[New position]]-Table132[[#This Row],[Old position]]</f>
        <v>0</v>
      </c>
      <c r="G36" s="37">
        <f>ROUND(Table132[[#This Row],[Target allocation ($)]]/(IF(G83&gt;0, G69,E69)*C18)*100,3)</f>
        <v>0.13</v>
      </c>
      <c r="H36" s="42">
        <f>Table132[[#This Row],[New position]]*Table132[[#This Row],[Last_Price]]</f>
        <v>345580.79999999999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77</v>
      </c>
      <c r="B37" s="37" t="s">
        <v>14</v>
      </c>
      <c r="C37" s="49">
        <v>12.85</v>
      </c>
      <c r="D37" s="37">
        <v>29573</v>
      </c>
      <c r="E37" s="37">
        <v>0</v>
      </c>
      <c r="F37" s="36">
        <f>Table132[[#This Row],[New position]]-Table132[[#This Row],[Old position]]</f>
        <v>-29573</v>
      </c>
      <c r="G37" s="37">
        <f>ROUND(Table132[[#This Row],[Target allocation ($)]]/(IF(G83&gt;0, G69,E69)*C18)*100,3)</f>
        <v>0</v>
      </c>
      <c r="H37" s="42">
        <f>Table132[[#This Row],[New position]]*Table132[[#This Row],[Last_Price]]</f>
        <v>0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78</v>
      </c>
      <c r="B38" s="37" t="s">
        <v>14</v>
      </c>
      <c r="C38" s="49">
        <v>29.1</v>
      </c>
      <c r="D38" s="37">
        <v>161453</v>
      </c>
      <c r="E38" s="37">
        <v>161453</v>
      </c>
      <c r="F38" s="36">
        <f>Table132[[#This Row],[New position]]-Table132[[#This Row],[Old position]]</f>
        <v>0</v>
      </c>
      <c r="G38" s="37">
        <f>ROUND(Table132[[#This Row],[Target allocation ($)]]/(IF(G83&gt;0, G69,E69)*C18)*100,3)</f>
        <v>1.766</v>
      </c>
      <c r="H38" s="42">
        <f>Table132[[#This Row],[New position]]*Table132[[#This Row],[Last_Price]]</f>
        <v>4698282.3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76</v>
      </c>
      <c r="B39" s="37" t="s">
        <v>14</v>
      </c>
      <c r="C39" s="49">
        <v>38.28</v>
      </c>
      <c r="D39" s="37">
        <v>492312</v>
      </c>
      <c r="E39" s="37">
        <v>500000</v>
      </c>
      <c r="F39" s="36">
        <f>Table132[[#This Row],[New position]]-Table132[[#This Row],[Old position]]</f>
        <v>7688</v>
      </c>
      <c r="G39" s="37">
        <f>ROUND(Table132[[#This Row],[Target allocation ($)]]/(IF(G83&gt;0, G69,E69)*C18)*100,3)</f>
        <v>7.1950000000000003</v>
      </c>
      <c r="H39" s="42">
        <f>Table132[[#This Row],[New position]]*Table132[[#This Row],[Last_Price]]</f>
        <v>19140000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51</v>
      </c>
      <c r="B40" s="37" t="s">
        <v>14</v>
      </c>
      <c r="C40" s="49">
        <v>53.23</v>
      </c>
      <c r="D40" s="37">
        <v>251631</v>
      </c>
      <c r="E40" s="37">
        <v>251631</v>
      </c>
      <c r="F40" s="36">
        <f>Table132[[#This Row],[New position]]-Table132[[#This Row],[Old position]]</f>
        <v>0</v>
      </c>
      <c r="G40" s="37">
        <f>ROUND(Table132[[#This Row],[Target allocation ($)]]/(IF(G83&gt;0, G69,E69)*C18)*100,3)</f>
        <v>5.0350000000000001</v>
      </c>
      <c r="H40" s="42">
        <f>Table132[[#This Row],[New position]]*Table132[[#This Row],[Last_Price]]</f>
        <v>13394318.129999999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52</v>
      </c>
      <c r="B41" s="47" t="s">
        <v>14</v>
      </c>
      <c r="C41" s="49">
        <v>101.12</v>
      </c>
      <c r="D41" s="37">
        <v>90439</v>
      </c>
      <c r="E41" s="37">
        <v>90439</v>
      </c>
      <c r="F41" s="36">
        <f>Table132[[#This Row],[New position]]-Table132[[#This Row],[Old position]]</f>
        <v>0</v>
      </c>
      <c r="G41" s="37">
        <f>ROUND(Table132[[#This Row],[Target allocation ($)]]/(IF(G83&gt;0, G69,E69)*C18)*100,3)</f>
        <v>3.4380000000000002</v>
      </c>
      <c r="H41" s="42">
        <f>Table132[[#This Row],[New position]]*Table132[[#This Row],[Last_Price]]</f>
        <v>9145191.6799999997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71</v>
      </c>
      <c r="B42" s="47" t="s">
        <v>14</v>
      </c>
      <c r="C42" s="49">
        <v>72.08</v>
      </c>
      <c r="D42" s="37">
        <v>79245</v>
      </c>
      <c r="E42" s="37">
        <v>79245</v>
      </c>
      <c r="F42" s="36">
        <f>Table132[[#This Row],[New position]]-Table132[[#This Row],[Old position]]</f>
        <v>0</v>
      </c>
      <c r="G42" s="37">
        <f>ROUND(Table132[[#This Row],[Target allocation ($)]]/(IF(G83&gt;0, G69,E69)*C18)*100,3)</f>
        <v>2.1469999999999998</v>
      </c>
      <c r="H42" s="42">
        <f>Table132[[#This Row],[New position]]*Table132[[#This Row],[Last_Price]]</f>
        <v>5711979.5999999996</v>
      </c>
      <c r="I42" s="29"/>
      <c r="L42" s="53"/>
      <c r="M42"/>
      <c r="N42"/>
      <c r="O42"/>
      <c r="P42"/>
      <c r="Q42"/>
      <c r="R42"/>
    </row>
    <row r="43" spans="1:18" x14ac:dyDescent="0.25">
      <c r="A43" s="47">
        <v>600519</v>
      </c>
      <c r="B43" s="47" t="s">
        <v>14</v>
      </c>
      <c r="C43" s="49">
        <v>233.05439330543899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($)]]/(IF(G83&gt;0, G69,E69)*C18)*100,3)</f>
        <v>7.9000000000000001E-2</v>
      </c>
      <c r="H43" s="42">
        <f>Table132[[#This Row],[New position]]*Table132[[#This Row],[Last_Price]]</f>
        <v>209748.95397489509</v>
      </c>
      <c r="I43" s="29"/>
      <c r="L43" s="53"/>
      <c r="M43"/>
      <c r="N43"/>
      <c r="O43"/>
      <c r="P43"/>
      <c r="Q43"/>
      <c r="R43"/>
    </row>
    <row r="44" spans="1:18" x14ac:dyDescent="0.25">
      <c r="A44" s="47">
        <v>700</v>
      </c>
      <c r="B44" s="47" t="s">
        <v>14</v>
      </c>
      <c r="C44" s="49">
        <v>40.051216389244601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($)]]/(IF(G83&gt;0, G69,E69)*C18)*100,3)</f>
        <v>0.19400000000000001</v>
      </c>
      <c r="H44" s="42">
        <f>Table132[[#This Row],[New position]]*Table132[[#This Row],[Last_Price]]</f>
        <v>516660.69142125535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9988</v>
      </c>
      <c r="B45" s="47" t="s">
        <v>14</v>
      </c>
      <c r="C45" s="49">
        <v>9.3918053777208694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($)]]/(IF(G83&gt;0, G69,E69)*C18)*100,3)</f>
        <v>7.8E-2</v>
      </c>
      <c r="H45" s="42">
        <f>Table132[[#This Row],[New position]]*Table132[[#This Row],[Last_Price]]</f>
        <v>206619.71830985913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9888</v>
      </c>
      <c r="B46" s="47" t="s">
        <v>14</v>
      </c>
      <c r="C46" s="49">
        <v>14.3918053777209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($)]]/(IF(G83&gt;0, G69,E69)*C18)*100,3)</f>
        <v>8.4000000000000005E-2</v>
      </c>
      <c r="H46" s="42">
        <f>Table132[[#This Row],[New position]]*Table132[[#This Row],[Last_Price]]</f>
        <v>224512.16389244603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88</v>
      </c>
      <c r="B47" s="47" t="s">
        <v>14</v>
      </c>
      <c r="C47" s="49">
        <v>96.44</v>
      </c>
      <c r="D47" s="37">
        <v>2750</v>
      </c>
      <c r="E47" s="37">
        <v>2750</v>
      </c>
      <c r="F47" s="36">
        <f>Table132[[#This Row],[New position]]-Table132[[#This Row],[Old position]]</f>
        <v>0</v>
      </c>
      <c r="G47" s="37">
        <f>ROUND(Table132[[#This Row],[Target allocation ($)]]/(IF(G83&gt;0, G69,E69)*C18)*100,3)</f>
        <v>0.1</v>
      </c>
      <c r="H47" s="42">
        <f>Table132[[#This Row],[New position]]*Table132[[#This Row],[Last_Price]]</f>
        <v>265210</v>
      </c>
      <c r="I47" s="29"/>
      <c r="L47" s="53"/>
      <c r="M47"/>
      <c r="N47"/>
      <c r="O47"/>
      <c r="P47"/>
      <c r="Q47"/>
      <c r="R47"/>
    </row>
    <row r="48" spans="1:18" x14ac:dyDescent="0.25">
      <c r="A48" s="47" t="s">
        <v>89</v>
      </c>
      <c r="B48" s="47" t="s">
        <v>14</v>
      </c>
      <c r="C48" s="49">
        <v>62.55</v>
      </c>
      <c r="D48" s="37">
        <v>17878</v>
      </c>
      <c r="E48" s="37">
        <v>17878</v>
      </c>
      <c r="F48" s="36">
        <f>Table132[[#This Row],[New position]]-Table132[[#This Row],[Old position]]</f>
        <v>0</v>
      </c>
      <c r="G48" s="37">
        <f>ROUND(Table132[[#This Row],[Target allocation ($)]]/(IF(G83&gt;0, G69,E69)*C18)*100,3)</f>
        <v>0.42</v>
      </c>
      <c r="H48" s="42">
        <f>Table132[[#This Row],[New position]]*Table132[[#This Row],[Last_Price]]</f>
        <v>1118268.8999999999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405.88</v>
      </c>
      <c r="D49" s="37">
        <v>182668</v>
      </c>
      <c r="E49" s="37">
        <v>182668</v>
      </c>
      <c r="F49" s="36">
        <f>Table132[[#This Row],[New position]]-Table132[[#This Row],[Old position]]</f>
        <v>0</v>
      </c>
      <c r="G49" s="37">
        <f>ROUND(Table132[[#This Row],[Target allocation ($)]]/(IF(G83&gt;0, G69,E69)*C18)*100,3)</f>
        <v>27.872</v>
      </c>
      <c r="H49" s="42">
        <f>Table132[[#This Row],[New position]]*Table132[[#This Row],[Last_Price]]</f>
        <v>74141287.840000004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81</v>
      </c>
      <c r="B50" s="47" t="s">
        <v>14</v>
      </c>
      <c r="C50" s="49">
        <v>49.45</v>
      </c>
      <c r="D50" s="37">
        <v>52000</v>
      </c>
      <c r="E50" s="37">
        <v>60000</v>
      </c>
      <c r="F50" s="36">
        <f>Table132[[#This Row],[New position]]-Table132[[#This Row],[Old position]]</f>
        <v>8000</v>
      </c>
      <c r="G50" s="37">
        <f>ROUND(Table132[[#This Row],[Target allocation ($)]]/(IF(G83&gt;0, G69,E69)*C18)*100,3)</f>
        <v>1.115</v>
      </c>
      <c r="H50" s="42">
        <f>Table132[[#This Row],[New position]]*Table132[[#This Row],[Last_Price]]</f>
        <v>2967000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82</v>
      </c>
      <c r="B51" s="47" t="s">
        <v>14</v>
      </c>
      <c r="C51" s="49">
        <v>95.2</v>
      </c>
      <c r="D51" s="37">
        <v>25521</v>
      </c>
      <c r="E51" s="37">
        <v>25521</v>
      </c>
      <c r="F51" s="36">
        <f>Table132[[#This Row],[New position]]-Table132[[#This Row],[Old position]]</f>
        <v>0</v>
      </c>
      <c r="G51" s="37">
        <f>ROUND(Table132[[#This Row],[Target allocation ($)]]/(IF(G83&gt;0, G69,E69)*C18)*100,3)</f>
        <v>0.91300000000000003</v>
      </c>
      <c r="H51" s="42">
        <f>Table132[[#This Row],[New position]]*Table132[[#This Row],[Last_Price]]</f>
        <v>2429599.2000000002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34</v>
      </c>
      <c r="B52" s="47" t="s">
        <v>14</v>
      </c>
      <c r="C52" s="49">
        <v>46.55</v>
      </c>
      <c r="D52" s="37">
        <v>27349</v>
      </c>
      <c r="E52" s="37">
        <v>27349</v>
      </c>
      <c r="F52" s="36">
        <f>Table132[[#This Row],[New position]]-Table132[[#This Row],[Old position]]</f>
        <v>0</v>
      </c>
      <c r="G52" s="37">
        <f>ROUND(Table132[[#This Row],[Target allocation ($)]]/(IF(G83&gt;0, G69,E69)*C18)*100,3)</f>
        <v>0.47899999999999998</v>
      </c>
      <c r="H52" s="42">
        <f>Table132[[#This Row],[New position]]*Table132[[#This Row],[Last_Price]]</f>
        <v>1273095.95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36</v>
      </c>
      <c r="B53" s="47" t="s">
        <v>14</v>
      </c>
      <c r="C53" s="49">
        <v>81.13</v>
      </c>
      <c r="D53" s="37">
        <v>127560</v>
      </c>
      <c r="E53" s="37">
        <v>127560</v>
      </c>
      <c r="F53" s="36">
        <f>Table132[[#This Row],[New position]]-Table132[[#This Row],[Old position]]</f>
        <v>0</v>
      </c>
      <c r="G53" s="37">
        <f>ROUND(Table132[[#This Row],[Target allocation ($)]]/(IF(G83&gt;0, G69,E69)*C18)*100,3)</f>
        <v>3.891</v>
      </c>
      <c r="H53" s="42">
        <f>Table132[[#This Row],[New position]]*Table132[[#This Row],[Last_Price]]</f>
        <v>10348942.799999999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37</v>
      </c>
      <c r="B54" s="47" t="s">
        <v>14</v>
      </c>
      <c r="C54" s="49">
        <v>71.22</v>
      </c>
      <c r="D54" s="37">
        <v>145699</v>
      </c>
      <c r="E54" s="37">
        <v>145699</v>
      </c>
      <c r="F54" s="36">
        <f>Table132[[#This Row],[New position]]-Table132[[#This Row],[Old position]]</f>
        <v>0</v>
      </c>
      <c r="G54" s="37">
        <f>ROUND(Table132[[#This Row],[Target allocation ($)]]/(IF(G83&gt;0, G69,E69)*C18)*100,3)</f>
        <v>3.9009999999999998</v>
      </c>
      <c r="H54" s="42">
        <f>Table132[[#This Row],[New position]]*Table132[[#This Row],[Last_Price]]</f>
        <v>10376682.779999999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47</v>
      </c>
      <c r="B55" s="47" t="s">
        <v>14</v>
      </c>
      <c r="C55" s="49">
        <v>99.12</v>
      </c>
      <c r="D55" s="37">
        <v>104876</v>
      </c>
      <c r="E55" s="37">
        <v>104876</v>
      </c>
      <c r="F55" s="36">
        <f>Table132[[#This Row],[New position]]-Table132[[#This Row],[Old position]]</f>
        <v>0</v>
      </c>
      <c r="G55" s="37">
        <f>ROUND(Table132[[#This Row],[Target allocation ($)]]/(IF(G83&gt;0, G69,E69)*C18)*100,3)</f>
        <v>3.9079999999999999</v>
      </c>
      <c r="H55" s="42">
        <f>Table132[[#This Row],[New position]]*Table132[[#This Row],[Last_Price]]</f>
        <v>10395309.120000001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48</v>
      </c>
      <c r="B56" s="47" t="s">
        <v>14</v>
      </c>
      <c r="C56" s="49">
        <v>65.47</v>
      </c>
      <c r="D56" s="37">
        <v>266903</v>
      </c>
      <c r="E56" s="37">
        <v>272960</v>
      </c>
      <c r="F56" s="36">
        <f>Table132[[#This Row],[New position]]-Table132[[#This Row],[Old position]]</f>
        <v>6057</v>
      </c>
      <c r="G56" s="37">
        <f>ROUND(Table132[[#This Row],[Target allocation ($)]]/(IF(G83&gt;0, G69,E69)*C18)*100,3)</f>
        <v>6.718</v>
      </c>
      <c r="H56" s="42">
        <f>Table132[[#This Row],[New position]]*Table132[[#This Row],[Last_Price]]</f>
        <v>17870691.199999999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44</v>
      </c>
      <c r="B57" s="47" t="s">
        <v>14</v>
      </c>
      <c r="C57" s="49">
        <v>288.99</v>
      </c>
      <c r="D57" s="37">
        <v>34544</v>
      </c>
      <c r="E57" s="37">
        <v>34544</v>
      </c>
      <c r="F57" s="36">
        <f>Table132[[#This Row],[New position]]-Table132[[#This Row],[Old position]]</f>
        <v>0</v>
      </c>
      <c r="G57" s="37">
        <f>ROUND(Table132[[#This Row],[Target allocation ($)]]/(IF(G83&gt;0, G69,E69)*C18)*100,3)</f>
        <v>3.7530000000000001</v>
      </c>
      <c r="H57" s="42">
        <f>Table132[[#This Row],[New position]]*Table132[[#This Row],[Last_Price]]</f>
        <v>9982870.5600000005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45</v>
      </c>
      <c r="B58" s="47" t="s">
        <v>14</v>
      </c>
      <c r="C58" s="49">
        <v>57.8</v>
      </c>
      <c r="D58" s="37">
        <v>171308</v>
      </c>
      <c r="E58" s="37">
        <v>171308</v>
      </c>
      <c r="F58" s="36">
        <f>Table132[[#This Row],[New position]]-Table132[[#This Row],[Old position]]</f>
        <v>0</v>
      </c>
      <c r="G58" s="37">
        <f>ROUND(Table132[[#This Row],[Target allocation ($)]]/(IF(G83&gt;0, G69,E69)*C18)*100,3)</f>
        <v>3.722</v>
      </c>
      <c r="H58" s="42">
        <f>Table132[[#This Row],[New position]]*Table132[[#This Row],[Last_Price]]</f>
        <v>9901602.4000000004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63</v>
      </c>
      <c r="B59" s="47" t="s">
        <v>14</v>
      </c>
      <c r="C59" s="49">
        <v>451.89</v>
      </c>
      <c r="D59" s="37">
        <v>13160</v>
      </c>
      <c r="E59" s="37">
        <v>13160</v>
      </c>
      <c r="F59" s="36">
        <f>Table132[[#This Row],[New position]]-Table132[[#This Row],[Old position]]</f>
        <v>0</v>
      </c>
      <c r="G59" s="37">
        <f>ROUND(Table132[[#This Row],[Target allocation ($)]]/(IF(G83&gt;0, G69,E69)*C18)*100,3)</f>
        <v>2.2360000000000002</v>
      </c>
      <c r="H59" s="42">
        <f>Table132[[#This Row],[New position]]*Table132[[#This Row],[Last_Price]]</f>
        <v>5946872.3999999994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64</v>
      </c>
      <c r="B60" s="47" t="s">
        <v>14</v>
      </c>
      <c r="C60" s="49">
        <v>110.33</v>
      </c>
      <c r="D60" s="37">
        <v>93168</v>
      </c>
      <c r="E60" s="37">
        <v>93168</v>
      </c>
      <c r="F60" s="36">
        <f>Table132[[#This Row],[New position]]-Table132[[#This Row],[Old position]]</f>
        <v>0</v>
      </c>
      <c r="G60" s="37">
        <f>ROUND(Table132[[#This Row],[Target allocation ($)]]/(IF(G83&gt;0, G69,E69)*C18)*100,3)</f>
        <v>3.8639999999999999</v>
      </c>
      <c r="H60" s="42">
        <f>Table132[[#This Row],[New position]]*Table132[[#This Row],[Last_Price]]</f>
        <v>10279225.439999999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80</v>
      </c>
      <c r="B61" s="47" t="s">
        <v>14</v>
      </c>
      <c r="C61" s="49">
        <v>36.26</v>
      </c>
      <c r="D61" s="37">
        <v>229000</v>
      </c>
      <c r="E61" s="37">
        <v>229000</v>
      </c>
      <c r="F61" s="36">
        <f>Table132[[#This Row],[New position]]-Table132[[#This Row],[Old position]]</f>
        <v>0</v>
      </c>
      <c r="G61" s="37">
        <f>ROUND(Table132[[#This Row],[Target allocation ($)]]/(IF(G83&gt;0, G69,E69)*C18)*100,3)</f>
        <v>3.1219999999999999</v>
      </c>
      <c r="H61" s="42">
        <f>Table132[[#This Row],[New position]]*Table132[[#This Row],[Last_Price]]</f>
        <v>8303540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65</v>
      </c>
      <c r="B62" s="47" t="s">
        <v>14</v>
      </c>
      <c r="C62" s="49">
        <v>39.72</v>
      </c>
      <c r="D62" s="37">
        <v>15560</v>
      </c>
      <c r="E62" s="37">
        <v>7780</v>
      </c>
      <c r="F62" s="36">
        <f>Table132[[#This Row],[New position]]-Table132[[#This Row],[Old position]]</f>
        <v>-7780</v>
      </c>
      <c r="G62" s="37">
        <f>ROUND(Table132[[#This Row],[Target allocation ($)]]/(IF(G83&gt;0, G69,E69)*C18)*100,3)</f>
        <v>0.11600000000000001</v>
      </c>
      <c r="H62" s="42">
        <f>Table132[[#This Row],[New position]]*Table132[[#This Row],[Last_Price]]</f>
        <v>309021.59999999998</v>
      </c>
      <c r="I62" s="29"/>
      <c r="L62" s="53"/>
      <c r="M62"/>
      <c r="N62"/>
      <c r="O62"/>
      <c r="P62"/>
      <c r="Q62"/>
      <c r="R62"/>
    </row>
    <row r="63" spans="1:18" x14ac:dyDescent="0.25">
      <c r="A63" s="47" t="s">
        <v>66</v>
      </c>
      <c r="B63" s="47" t="s">
        <v>14</v>
      </c>
      <c r="C63" s="49">
        <v>165.4</v>
      </c>
      <c r="D63" s="37">
        <v>10499</v>
      </c>
      <c r="E63" s="37">
        <v>2624</v>
      </c>
      <c r="F63" s="36">
        <f>Table132[[#This Row],[New position]]-Table132[[#This Row],[Old position]]</f>
        <v>-7875</v>
      </c>
      <c r="G63" s="37">
        <f>ROUND(Table132[[#This Row],[Target allocation ($)]]/(IF(G83&gt;0, G69,E69)*C18)*100,3)</f>
        <v>0.16300000000000001</v>
      </c>
      <c r="H63" s="42">
        <f>Table132[[#This Row],[New position]]*Table132[[#This Row],[Last_Price]]</f>
        <v>434009.60000000003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68</v>
      </c>
      <c r="B64" s="47" t="s">
        <v>14</v>
      </c>
      <c r="C64" s="49">
        <v>188.53</v>
      </c>
      <c r="D64" s="37">
        <v>54286</v>
      </c>
      <c r="E64" s="37">
        <v>54286</v>
      </c>
      <c r="F64" s="36">
        <f>Table132[[#This Row],[New position]]-Table132[[#This Row],[Old position]]</f>
        <v>0</v>
      </c>
      <c r="G64" s="37">
        <f>ROUND(Table132[[#This Row],[Target allocation ($)]]/(IF(G83&gt;0, G69,E69)*C18)*100,3)</f>
        <v>3.8479999999999999</v>
      </c>
      <c r="H64" s="42">
        <f>Table132[[#This Row],[New position]]*Table132[[#This Row],[Last_Price]]</f>
        <v>10234539.58</v>
      </c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/>
      <c r="B68" s="47"/>
      <c r="C68" s="48"/>
      <c r="D68" s="38"/>
      <c r="E68" s="59" t="s">
        <v>49</v>
      </c>
      <c r="F68" s="34"/>
      <c r="G68" s="60" t="s">
        <v>50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IF(G83&gt;0, (C19+ABS(G83*G69))/C15, C19/C15)</f>
        <v>5.4999999999999991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38</v>
      </c>
      <c r="B70" s="37"/>
      <c r="C70" s="37"/>
      <c r="D70" s="50" t="str">
        <f>Table132[[#This Row],[Symbol]]</f>
        <v>SingleStocks</v>
      </c>
      <c r="E70" s="37">
        <f>ROUND(SUM(G22:G37)/100, 3)</f>
        <v>2.3E-2</v>
      </c>
      <c r="F70" s="50" t="str">
        <f>Table132[[#This Row],[Symbol]]</f>
        <v>SingleStocks</v>
      </c>
      <c r="G70" s="37">
        <f>SUM(H22:H37)/(G69*C18)</f>
        <v>2.2805123245344297E-2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84</v>
      </c>
      <c r="B71" s="47"/>
      <c r="C71" s="48"/>
      <c r="D71" s="50" t="str">
        <f>Table132[[#This Row],[Symbol]]</f>
        <v>Semiconductor</v>
      </c>
      <c r="E71" s="37">
        <f>ROUND(SUM(G38)/100, 3)</f>
        <v>1.7999999999999999E-2</v>
      </c>
      <c r="F71" s="50" t="str">
        <f>Table132[[#This Row],[Symbol]]</f>
        <v>Semiconductor</v>
      </c>
      <c r="G71" s="37">
        <f>SUM(H38)/(G69*C18)</f>
        <v>1.7662508841860877E-2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85</v>
      </c>
      <c r="B72" s="47"/>
      <c r="C72" s="48"/>
      <c r="D72" s="50" t="str">
        <f>Table132[[#This Row],[Symbol]]</f>
        <v>Small Cap</v>
      </c>
      <c r="E72" s="56">
        <f>ROUND(SUM(G39)/100, 3)</f>
        <v>7.1999999999999995E-2</v>
      </c>
      <c r="F72" s="50" t="str">
        <f>Table132[[#This Row],[Symbol]]</f>
        <v>Small Cap</v>
      </c>
      <c r="G72" s="56">
        <f>SUM(H39)/(G69*C18)</f>
        <v>7.1954045680315368E-2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72</v>
      </c>
      <c r="B73" s="47"/>
      <c r="C73" s="48"/>
      <c r="D73" s="50" t="str">
        <f>Table132[[#This Row],[Symbol]]</f>
        <v>S&amp;P</v>
      </c>
      <c r="E73" s="37">
        <f>ROUND(SUM(G40:G41)/100, 3)</f>
        <v>8.5000000000000006E-2</v>
      </c>
      <c r="F73" s="50" t="str">
        <f>Table132[[#This Row],[Symbol]]</f>
        <v>S&amp;P</v>
      </c>
      <c r="G73" s="37">
        <f>SUM(H40:H41)/(G69*C18)</f>
        <v>8.4734008280076087E-2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73</v>
      </c>
      <c r="B74" s="47"/>
      <c r="C74" s="48"/>
      <c r="D74" s="50" t="str">
        <f>Table132[[#This Row],[Symbol]]</f>
        <v>Dow Jones</v>
      </c>
      <c r="E74" s="37">
        <f>ROUND(SUM(G42)/100, 3)</f>
        <v>2.1000000000000001E-2</v>
      </c>
      <c r="F74" s="50" t="str">
        <f>Table132[[#This Row],[Symbol]]</f>
        <v>Dow Jones</v>
      </c>
      <c r="G74" s="37">
        <f>SUM(H42)/(G69*C18)</f>
        <v>2.1473356377399659E-2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83</v>
      </c>
      <c r="B75" s="47"/>
      <c r="C75" s="48"/>
      <c r="D75" s="50" t="str">
        <f>Table132[[#This Row],[Symbol]]</f>
        <v>Int Stocks</v>
      </c>
      <c r="E75" s="37">
        <f>ROUND(SUM(G43:G48)/100, 3)</f>
        <v>0.01</v>
      </c>
      <c r="F75" s="50" t="str">
        <f>Table132[[#This Row],[Symbol]]</f>
        <v>Int Stocks</v>
      </c>
      <c r="G75" s="37">
        <f>SUM(H43:H48)/(G69*C18)</f>
        <v>9.5525966521438754E-3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ROUND(SUM(G49:G50)/100, 3)</f>
        <v>0.28999999999999998</v>
      </c>
      <c r="F76" s="50" t="str">
        <f>Table132[[#This Row],[Symbol]]</f>
        <v>QQQ</v>
      </c>
      <c r="G76" s="37">
        <f>SUM(H49:H50)/(G69*C18)</f>
        <v>0.28987739109562521</v>
      </c>
      <c r="H76" s="49"/>
      <c r="I76" s="30"/>
      <c r="L76"/>
      <c r="M76"/>
      <c r="N76"/>
      <c r="O76"/>
      <c r="P76"/>
      <c r="Q76"/>
      <c r="R76"/>
    </row>
    <row r="77" spans="1:18" ht="15.75" customHeight="1" x14ac:dyDescent="0.25">
      <c r="A77" s="64" t="s">
        <v>86</v>
      </c>
      <c r="B77" s="47"/>
      <c r="C77" s="48"/>
      <c r="D77" s="50" t="str">
        <f>Table132[[#This Row],[Symbol]]</f>
        <v>Regional Bank</v>
      </c>
      <c r="E77" s="56">
        <f>ROUND(SUM(G51)/100, 3)</f>
        <v>8.9999999999999993E-3</v>
      </c>
      <c r="F77" s="50" t="str">
        <f>Table132[[#This Row],[Symbol]]</f>
        <v>Regional Bank</v>
      </c>
      <c r="G77" s="37">
        <f>SUM(H51)/(G69*C18)</f>
        <v>9.1337247555725014E-3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37" t="s">
        <v>27</v>
      </c>
      <c r="B78" s="47"/>
      <c r="C78" s="48"/>
      <c r="D78" s="50" t="str">
        <f>Table132[[#This Row],[Symbol]]</f>
        <v>Bonds</v>
      </c>
      <c r="E78" s="37">
        <f>ROUND(SUM(G53:G61)/100, 3)</f>
        <v>0.35099999999999998</v>
      </c>
      <c r="F78" s="50" t="str">
        <f>Table132[[#This Row],[Symbol]]</f>
        <v>Bonds</v>
      </c>
      <c r="G78" s="37">
        <f>SUM(H53:H61)/(G69*C18)</f>
        <v>0.35114527927457212</v>
      </c>
      <c r="H78" s="49"/>
      <c r="I78" s="30"/>
      <c r="L78"/>
      <c r="M78"/>
      <c r="N78"/>
      <c r="O78"/>
      <c r="P78"/>
      <c r="Q78"/>
      <c r="R78"/>
    </row>
    <row r="79" spans="1:18" ht="14.25" customHeight="1" x14ac:dyDescent="0.25">
      <c r="A79" s="47" t="s">
        <v>40</v>
      </c>
      <c r="B79" s="37"/>
      <c r="C79" s="37"/>
      <c r="D79" s="50" t="str">
        <f>Table132[[#This Row],[Symbol]]</f>
        <v>Gold</v>
      </c>
      <c r="E79" s="37">
        <f>ROUND(SUM(G64)/100,3)</f>
        <v>3.7999999999999999E-2</v>
      </c>
      <c r="F79" s="50" t="str">
        <f>Table132[[#This Row],[Symbol]]</f>
        <v>Gold</v>
      </c>
      <c r="G79" s="37">
        <f>SUM(H64)/(G69*C18)</f>
        <v>3.8475262719765708E-2</v>
      </c>
      <c r="H79" s="37"/>
      <c r="I79" s="31"/>
      <c r="L79"/>
      <c r="M79"/>
      <c r="N79"/>
      <c r="O79"/>
      <c r="P79"/>
      <c r="Q79"/>
      <c r="R79"/>
    </row>
    <row r="80" spans="1:18" ht="15" customHeight="1" x14ac:dyDescent="0.25">
      <c r="A80" s="37" t="s">
        <v>28</v>
      </c>
      <c r="B80" s="37"/>
      <c r="C80" s="37"/>
      <c r="D80" s="50" t="str">
        <f>Table132[[#This Row],[Symbol]]</f>
        <v>Commodities</v>
      </c>
      <c r="E80" s="37">
        <f>ROUND(SUM(G52)/100,3)</f>
        <v>5.0000000000000001E-3</v>
      </c>
      <c r="F80" s="50" t="str">
        <f>Table132[[#This Row],[Symbol]]</f>
        <v>Commodities</v>
      </c>
      <c r="G80" s="37">
        <f>SUM(H52)/(G69*C18)</f>
        <v>4.7860190251684687E-3</v>
      </c>
      <c r="H80" s="37"/>
      <c r="I80" s="32"/>
      <c r="L80"/>
      <c r="M80"/>
      <c r="N80"/>
      <c r="O80"/>
      <c r="P80"/>
      <c r="Q80"/>
      <c r="R80"/>
    </row>
    <row r="81" spans="1:18" ht="14.25" customHeight="1" x14ac:dyDescent="0.25">
      <c r="A81" s="47" t="s">
        <v>39</v>
      </c>
      <c r="B81" s="47"/>
      <c r="C81" s="48"/>
      <c r="D81" s="50" t="str">
        <f>Table132[[#This Row],[Symbol]]</f>
        <v>Crypto</v>
      </c>
      <c r="E81" s="56">
        <f>ROUND(SUM(G62:G63)/100,3)</f>
        <v>3.0000000000000001E-3</v>
      </c>
      <c r="F81" s="50" t="str">
        <f>Table132[[#This Row],[Symbol]]</f>
        <v>Crypto</v>
      </c>
      <c r="G81" s="56">
        <f>SUM(H62:H63)/(G69*C18)</f>
        <v>2.7933177067241141E-3</v>
      </c>
      <c r="H81" s="49"/>
      <c r="I81" s="55"/>
      <c r="L81"/>
      <c r="M81"/>
      <c r="N81"/>
      <c r="O81"/>
      <c r="P81"/>
      <c r="Q81"/>
      <c r="R81"/>
    </row>
    <row r="82" spans="1:18" ht="14.25" customHeight="1" x14ac:dyDescent="0.25">
      <c r="A82" s="37" t="s">
        <v>23</v>
      </c>
      <c r="B82" s="37"/>
      <c r="C82" s="37"/>
      <c r="D82" s="50" t="str">
        <f>Table132[[#This Row],[Symbol]]</f>
        <v>Cash</v>
      </c>
      <c r="E82" s="37">
        <f>1-SUM(E70:E81)</f>
        <v>7.4999999999999956E-2</v>
      </c>
      <c r="F82" s="50" t="str">
        <f>Table132[[#This Row],[Symbol]]</f>
        <v>Cash</v>
      </c>
      <c r="G82" s="37">
        <f>1-SUM(G70:G81)</f>
        <v>7.5607366345431526E-2</v>
      </c>
      <c r="H82" s="37"/>
      <c r="I82" s="30"/>
      <c r="L82"/>
      <c r="M82"/>
      <c r="N82"/>
      <c r="O82"/>
      <c r="P82"/>
      <c r="Q82"/>
      <c r="R82"/>
    </row>
    <row r="83" spans="1:18" x14ac:dyDescent="0.25">
      <c r="A83" s="27" t="s">
        <v>29</v>
      </c>
      <c r="B83" s="27"/>
      <c r="C83" s="35"/>
      <c r="D83" s="34"/>
      <c r="E83" s="27">
        <f>C18*E82</f>
        <v>3627315.149999998</v>
      </c>
      <c r="F83" s="34"/>
      <c r="G83" s="37">
        <f>C18*G82</f>
        <v>3656689.9386184523</v>
      </c>
      <c r="H83" s="42"/>
      <c r="I83" s="33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27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1"/>
      <c r="B87" s="5" t="s">
        <v>21</v>
      </c>
      <c r="D87" s="1"/>
      <c r="E87" s="5" t="s">
        <v>20</v>
      </c>
      <c r="F87" s="1"/>
      <c r="G87" s="5"/>
      <c r="H87" s="43" t="s">
        <v>2</v>
      </c>
      <c r="I87" s="4"/>
      <c r="L87"/>
      <c r="M87"/>
      <c r="N87"/>
      <c r="O87"/>
      <c r="P87"/>
      <c r="Q87"/>
      <c r="R87"/>
    </row>
    <row r="88" spans="1:18" x14ac:dyDescent="0.25">
      <c r="B88" s="5" t="s">
        <v>24</v>
      </c>
      <c r="D88" s="1"/>
      <c r="E88" s="5" t="s">
        <v>24</v>
      </c>
      <c r="F88" s="1"/>
      <c r="G88" s="5"/>
      <c r="H88" s="43" t="s">
        <v>3</v>
      </c>
      <c r="L88"/>
      <c r="M88"/>
      <c r="N88"/>
      <c r="O88"/>
      <c r="P88"/>
      <c r="Q88"/>
      <c r="R88"/>
    </row>
    <row r="89" spans="1:18" x14ac:dyDescent="0.25">
      <c r="B89" s="3"/>
      <c r="C89"/>
      <c r="D89" s="1"/>
      <c r="E89" s="3"/>
      <c r="F89" s="20"/>
      <c r="G89" s="3"/>
      <c r="H89" s="44"/>
      <c r="L89"/>
      <c r="M89"/>
      <c r="N89"/>
      <c r="O89"/>
      <c r="P89"/>
      <c r="Q89"/>
      <c r="R89"/>
    </row>
    <row r="90" spans="1:18" x14ac:dyDescent="0.25">
      <c r="C90"/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2023-12-21T12:46:28Z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