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348" documentId="14_{A48F4B07-3EF3-43E5-91B2-4CA340E6013A}" xr6:coauthVersionLast="47" xr6:coauthVersionMax="47" xr10:uidLastSave="{B0FB61D9-9C4A-47D8-9BD8-7A0EECB2FECC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3" l="1"/>
  <c r="F62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F73" i="3"/>
  <c r="F71" i="3"/>
  <c r="F70" i="3"/>
  <c r="F69" i="3"/>
  <c r="F68" i="3"/>
  <c r="F75" i="3"/>
  <c r="F45" i="3"/>
  <c r="F50" i="3"/>
  <c r="H61" i="3" l="1"/>
  <c r="F60" i="3"/>
  <c r="F61" i="3"/>
  <c r="F22" i="3"/>
  <c r="H22" i="3"/>
  <c r="F23" i="3"/>
  <c r="H23" i="3"/>
  <c r="F24" i="3"/>
  <c r="H24" i="3"/>
  <c r="F25" i="3"/>
  <c r="H25" i="3"/>
  <c r="H60" i="3" l="1"/>
  <c r="F72" i="3" l="1"/>
  <c r="F74" i="3"/>
  <c r="F76" i="3"/>
  <c r="F77" i="3"/>
  <c r="F78" i="3"/>
  <c r="F79" i="3"/>
  <c r="F80" i="3"/>
  <c r="H59" i="3"/>
  <c r="F59" i="3"/>
  <c r="H41" i="3" l="1"/>
  <c r="H58" i="3"/>
  <c r="F58" i="3" l="1"/>
  <c r="H40" i="3" l="1"/>
  <c r="H42" i="3"/>
  <c r="H43" i="3"/>
  <c r="H44" i="3"/>
  <c r="H49" i="3"/>
  <c r="H45" i="3"/>
  <c r="H50" i="3"/>
  <c r="H47" i="3"/>
  <c r="H48" i="3"/>
  <c r="H46" i="3"/>
  <c r="H51" i="3"/>
  <c r="H52" i="3"/>
  <c r="H53" i="3"/>
  <c r="H54" i="3"/>
  <c r="H55" i="3"/>
  <c r="H56" i="3"/>
  <c r="H57" i="3"/>
  <c r="F40" i="3"/>
  <c r="F41" i="3"/>
  <c r="F42" i="3"/>
  <c r="F43" i="3"/>
  <c r="F44" i="3"/>
  <c r="F49" i="3"/>
  <c r="F47" i="3"/>
  <c r="F48" i="3"/>
  <c r="F46" i="3"/>
  <c r="F51" i="3"/>
  <c r="F52" i="3"/>
  <c r="F53" i="3"/>
  <c r="F54" i="3"/>
  <c r="F55" i="3"/>
  <c r="F56" i="3"/>
  <c r="F57" i="3"/>
  <c r="F33" i="3" l="1"/>
  <c r="F34" i="3"/>
  <c r="F35" i="3"/>
  <c r="F36" i="3"/>
  <c r="F37" i="3"/>
  <c r="F38" i="3"/>
  <c r="F39" i="3"/>
  <c r="H38" i="3"/>
  <c r="H39" i="3"/>
  <c r="H33" i="3" l="1"/>
  <c r="H34" i="3"/>
  <c r="H36" i="3" l="1"/>
  <c r="H37" i="3"/>
  <c r="H31" i="3"/>
  <c r="H32" i="3" l="1"/>
  <c r="H30" i="3" l="1"/>
  <c r="H29" i="3"/>
  <c r="H35" i="3"/>
  <c r="H26" i="3" l="1"/>
  <c r="H27" i="3"/>
  <c r="H28" i="3"/>
  <c r="C19" i="3" l="1" a="1"/>
  <c r="C19" i="3" s="1"/>
  <c r="C10" i="3" s="1"/>
  <c r="F30" i="3"/>
  <c r="F29" i="3"/>
  <c r="F32" i="3"/>
  <c r="F26" i="3" l="1"/>
  <c r="F27" i="3"/>
  <c r="F28" i="3"/>
  <c r="F31" i="3"/>
  <c r="C18" i="3"/>
  <c r="C8" i="3" s="1"/>
  <c r="C6" i="3" l="1"/>
  <c r="C9" i="3"/>
  <c r="G77" i="3"/>
  <c r="G78" i="3"/>
  <c r="G75" i="3"/>
  <c r="G76" i="3"/>
  <c r="G74" i="3"/>
  <c r="G73" i="3"/>
  <c r="C12" i="3"/>
  <c r="G68" i="3"/>
  <c r="C4" i="3"/>
  <c r="C3" i="3"/>
  <c r="C13" i="3"/>
  <c r="G79" i="3"/>
  <c r="C14" i="3"/>
  <c r="C11" i="3"/>
  <c r="G72" i="3"/>
  <c r="C7" i="3"/>
  <c r="G71" i="3"/>
  <c r="G70" i="3"/>
  <c r="G69" i="3"/>
  <c r="C5" i="3"/>
  <c r="C2" i="3"/>
  <c r="G80" i="3" l="1"/>
  <c r="G81" i="3" s="1"/>
  <c r="E67" i="3" l="1"/>
  <c r="G49" i="3" s="1"/>
  <c r="E75" i="3" s="1"/>
  <c r="G34" i="3" l="1"/>
  <c r="G61" i="3"/>
  <c r="G62" i="3"/>
  <c r="E77" i="3" s="1"/>
  <c r="G26" i="3"/>
  <c r="G23" i="3"/>
  <c r="G25" i="3"/>
  <c r="G22" i="3"/>
  <c r="G24" i="3"/>
  <c r="G60" i="3"/>
  <c r="G59" i="3"/>
  <c r="G57" i="3"/>
  <c r="G45" i="3"/>
  <c r="G50" i="3"/>
  <c r="E78" i="3" s="1"/>
  <c r="G38" i="3"/>
  <c r="G58" i="3"/>
  <c r="G53" i="3"/>
  <c r="G46" i="3"/>
  <c r="G54" i="3"/>
  <c r="G39" i="3"/>
  <c r="G52" i="3"/>
  <c r="G40" i="3"/>
  <c r="E72" i="3" s="1"/>
  <c r="G33" i="3"/>
  <c r="G37" i="3"/>
  <c r="E70" i="3" s="1"/>
  <c r="G44" i="3"/>
  <c r="G42" i="3"/>
  <c r="G47" i="3"/>
  <c r="G48" i="3"/>
  <c r="G55" i="3"/>
  <c r="G41" i="3"/>
  <c r="G56" i="3"/>
  <c r="G43" i="3"/>
  <c r="G30" i="3"/>
  <c r="G51" i="3"/>
  <c r="G27" i="3"/>
  <c r="G28" i="3"/>
  <c r="G32" i="3"/>
  <c r="G35" i="3"/>
  <c r="G29" i="3"/>
  <c r="G31" i="3"/>
  <c r="G36" i="3"/>
  <c r="E69" i="3" s="1"/>
  <c r="E73" i="3" l="1"/>
  <c r="E74" i="3"/>
  <c r="E76" i="3"/>
  <c r="E79" i="3"/>
  <c r="E71" i="3"/>
  <c r="E68" i="3"/>
  <c r="E80" i="3" l="1"/>
  <c r="E81" i="3" s="1"/>
</calcChain>
</file>

<file path=xl/sharedStrings.xml><?xml version="1.0" encoding="utf-8"?>
<sst xmlns="http://schemas.openxmlformats.org/spreadsheetml/2006/main" count="130" uniqueCount="88">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</sst>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Sheet1!$D$68:$D$80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Sheet1!$E$68:$E$80</c:f>
              <c:numCache>
                <c:formatCode>General</c:formatCode>
                <c:ptCount val="13"/>
                <c:pt idx="0">
                  <c:v>2.1000000000000001E-2</c:v>
                </c:pt>
                <c:pt idx="1">
                  <c:v>1.7999999999999999E-2</c:v>
                </c:pt>
                <c:pt idx="2">
                  <c:v>7.1999999999999995E-2</c:v>
                </c:pt>
                <c:pt idx="3">
                  <c:v>8.3000000000000004E-2</c:v>
                </c:pt>
                <c:pt idx="4">
                  <c:v>2.1000000000000001E-2</c:v>
                </c:pt>
                <c:pt idx="5">
                  <c:v>8.9999999999999993E-3</c:v>
                </c:pt>
                <c:pt idx="6">
                  <c:v>0.27900000000000003</c:v>
                </c:pt>
                <c:pt idx="7">
                  <c:v>8.9999999999999993E-3</c:v>
                </c:pt>
                <c:pt idx="8">
                  <c:v>0.33500000000000002</c:v>
                </c:pt>
                <c:pt idx="9">
                  <c:v>3.6999999999999998E-2</c:v>
                </c:pt>
                <c:pt idx="10">
                  <c:v>5.0000000000000001E-3</c:v>
                </c:pt>
                <c:pt idx="11">
                  <c:v>3.0000000000000001E-3</c:v>
                </c:pt>
                <c:pt idx="12">
                  <c:v>0.10799999999999998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4" totalsRowShown="0" headerRowDxfId="13" dataDxfId="11" headerRowBorderDxfId="12" tableBorderDxfId="10" totalsRowBorderDxfId="9">
  <autoFilter ref="A21:I84" xr:uid="{00000000-0009-0000-0100-000001000000}"/>
  <sortState xmlns:xlrd2="http://schemas.microsoft.com/office/spreadsheetml/2017/richdata2" ref="A22:I83">
    <sortCondition ref="A21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topLeftCell="A49" zoomScale="115" zoomScaleNormal="115" workbookViewId="0">
      <selection activeCell="D58" sqref="D58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45286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4.8984695853661497</v>
      </c>
      <c r="D2"/>
      <c r="E2" s="24"/>
      <c r="F2" s="17"/>
      <c r="G2" s="17"/>
      <c r="H2" s="16"/>
    </row>
    <row r="3" spans="1:8" s="13" customFormat="1" x14ac:dyDescent="0.25">
      <c r="A3" s="67" t="s">
        <v>42</v>
      </c>
      <c r="B3" s="68"/>
      <c r="C3" s="15">
        <f>SUM(H22:H35)/C18</f>
        <v>0.11719748548093661</v>
      </c>
      <c r="D3"/>
      <c r="E3" s="24"/>
      <c r="F3" s="17"/>
      <c r="G3" s="17"/>
      <c r="H3" s="16"/>
    </row>
    <row r="4" spans="1:8" s="13" customFormat="1" x14ac:dyDescent="0.25">
      <c r="A4" s="61" t="s">
        <v>77</v>
      </c>
      <c r="B4" s="62"/>
      <c r="C4" s="15">
        <f>SUM(H36)/C18</f>
        <v>9.7359774790059472E-2</v>
      </c>
      <c r="D4"/>
      <c r="E4" s="24"/>
      <c r="F4" s="17"/>
      <c r="G4" s="17"/>
      <c r="H4" s="16"/>
    </row>
    <row r="5" spans="1:8" s="13" customFormat="1" x14ac:dyDescent="0.25">
      <c r="A5" s="67" t="s">
        <v>73</v>
      </c>
      <c r="B5" s="68"/>
      <c r="C5" s="15">
        <f>SUM(H37)/C18</f>
        <v>0.39704429994698698</v>
      </c>
      <c r="D5"/>
      <c r="E5" s="24"/>
      <c r="F5" s="17"/>
      <c r="G5" s="17"/>
      <c r="H5" s="16"/>
    </row>
    <row r="6" spans="1:8" s="13" customFormat="1" x14ac:dyDescent="0.25">
      <c r="A6" s="61" t="s">
        <v>69</v>
      </c>
      <c r="B6" s="62"/>
      <c r="C6" s="15">
        <f>SUM(H38:H39)/C18</f>
        <v>0.45388561333878474</v>
      </c>
      <c r="D6"/>
      <c r="E6" s="24"/>
      <c r="F6" s="17"/>
      <c r="G6" s="17"/>
      <c r="H6" s="16"/>
    </row>
    <row r="7" spans="1:8" s="13" customFormat="1" x14ac:dyDescent="0.25">
      <c r="A7" s="61" t="s">
        <v>74</v>
      </c>
      <c r="B7" s="62"/>
      <c r="C7" s="15">
        <f>SUM(H40)/C18</f>
        <v>0.11342885672189848</v>
      </c>
      <c r="D7"/>
      <c r="E7" s="24"/>
      <c r="F7" s="17"/>
      <c r="G7" s="17"/>
      <c r="H7" s="16"/>
    </row>
    <row r="8" spans="1:8" s="13" customFormat="1" x14ac:dyDescent="0.25">
      <c r="A8" s="67" t="s">
        <v>46</v>
      </c>
      <c r="B8" s="68"/>
      <c r="C8" s="15">
        <f>SUM(H41:H46)/C18</f>
        <v>4.8931371287865233E-2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SUM(H47:H48)/C18</f>
        <v>1.534435505637024</v>
      </c>
      <c r="D9"/>
      <c r="E9" s="24"/>
      <c r="F9" s="17"/>
      <c r="G9" s="17"/>
      <c r="H9" s="16"/>
    </row>
    <row r="10" spans="1:8" s="13" customFormat="1" x14ac:dyDescent="0.25">
      <c r="A10" s="61" t="s">
        <v>85</v>
      </c>
      <c r="B10" s="62"/>
      <c r="C10" s="15">
        <f>SUM(H49)/C19</f>
        <v>1.008933860083107E-2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SUM(H51:H59)/C18</f>
        <v>1.8422521262716738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SUM(H46)/C18</f>
        <v>5.461912115182729E-3</v>
      </c>
      <c r="D12"/>
      <c r="E12" s="24"/>
      <c r="F12" s="17"/>
      <c r="G12" s="17"/>
      <c r="H12" s="16"/>
    </row>
    <row r="13" spans="1:8" s="13" customFormat="1" x14ac:dyDescent="0.25">
      <c r="A13" s="67" t="s">
        <v>43</v>
      </c>
      <c r="B13" s="68"/>
      <c r="C13" s="15">
        <f>SUM(H62)/C18</f>
        <v>0.20333377842596093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41</v>
      </c>
      <c r="B14" s="66"/>
      <c r="C14" s="15">
        <f>SUM(H60:H61)/C18</f>
        <v>1.4855519265918384E-2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50993131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50993131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249788301.26609173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44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($)]]/(IF(G81&gt;0, G67,E67)*C18)*100,3)</f>
        <v>0.19900000000000001</v>
      </c>
      <c r="H22" s="42">
        <f>Table132[[#This Row],[New position]]*Table132[[#This Row],[Last_Price]]</f>
        <v>559020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203.04</v>
      </c>
      <c r="D23" s="37">
        <v>1361</v>
      </c>
      <c r="E23" s="37">
        <v>1088</v>
      </c>
      <c r="F23" s="36">
        <f>Table132[[#This Row],[New position]]-Table132[[#This Row],[Old position]]</f>
        <v>-273</v>
      </c>
      <c r="G23" s="37">
        <f>ROUND(Table132[[#This Row],[Target allocation ($)]]/(IF(G81&gt;0, G67,E67)*C18)*100,3)</f>
        <v>7.9000000000000001E-2</v>
      </c>
      <c r="H23" s="42">
        <f>Table132[[#This Row],[New position]]*Table132[[#This Row],[Last_Price]]</f>
        <v>220907.51999999999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2304.35</v>
      </c>
      <c r="D24" s="37">
        <v>122</v>
      </c>
      <c r="E24" s="37">
        <v>97</v>
      </c>
      <c r="F24" s="36">
        <f>Table132[[#This Row],[New position]]-Table132[[#This Row],[Old position]]</f>
        <v>-25</v>
      </c>
      <c r="G24" s="37">
        <f>ROUND(Table132[[#This Row],[Target allocation ($)]]/(IF(G81&gt;0, G67,E67)*C18)*100,3)</f>
        <v>0.08</v>
      </c>
      <c r="H24" s="42">
        <f>Table132[[#This Row],[New position]]*Table132[[#This Row],[Last_Price]]</f>
        <v>223521.94999999998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193.81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($)]]/(IF(G81&gt;0, G67,E67)*C18)*100,3)</f>
        <v>0.19600000000000001</v>
      </c>
      <c r="H25" s="42">
        <f>Table132[[#This Row],[New position]]*Table132[[#This Row],[Last_Price]]</f>
        <v>550226.59</v>
      </c>
      <c r="I25" s="52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376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($)]]/(IF(G81&gt;0, G67,E67)*C18)*100,3)</f>
        <v>0.193</v>
      </c>
      <c r="H26" s="42">
        <f>Table132[[#This Row],[New position]]*Table132[[#This Row],[Last_Price]]</f>
        <v>539936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141.72999999999999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($)]]/(IF(G81&gt;0, G67,E67)*C18)*100,3)</f>
        <v>0.19900000000000001</v>
      </c>
      <c r="H27" s="42">
        <f>Table132[[#This Row],[New position]]*Table132[[#This Row],[Last_Price]]</f>
        <v>559124.85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41.3</v>
      </c>
      <c r="D28" s="37">
        <v>6756</v>
      </c>
      <c r="E28" s="37">
        <v>6756</v>
      </c>
      <c r="F28" s="36">
        <f>Table132[[#This Row],[New position]]-Table132[[#This Row],[Old position]]</f>
        <v>0</v>
      </c>
      <c r="G28" s="37">
        <f>ROUND(Table132[[#This Row],[Target allocation ($)]]/(IF(G81&gt;0, G67,E67)*C18)*100,3)</f>
        <v>9.9000000000000005E-2</v>
      </c>
      <c r="H28" s="42">
        <f>Table132[[#This Row],[New position]]*Table132[[#This Row],[Last_Price]]</f>
        <v>279022.8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570.39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($)]]/(IF(G81&gt;0, G67,E67)*C18)*100,3)</f>
        <v>0.186</v>
      </c>
      <c r="H29" s="42">
        <f>Table132[[#This Row],[New position]]*Table132[[#This Row],[Last_Price]]</f>
        <v>521336.45999999996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752.53</v>
      </c>
      <c r="D30" s="37">
        <v>492</v>
      </c>
      <c r="E30" s="37">
        <v>492</v>
      </c>
      <c r="F30" s="36">
        <f>Table132[[#This Row],[New position]]-Table132[[#This Row],[Old position]]</f>
        <v>0</v>
      </c>
      <c r="G30" s="37">
        <f>ROUND(Table132[[#This Row],[Target allocation ($)]]/(IF(G81&gt;0, G67,E67)*C18)*100,3)</f>
        <v>0.13200000000000001</v>
      </c>
      <c r="H30" s="42">
        <f>Table132[[#This Row],[New position]]*Table132[[#This Row],[Last_Price]]</f>
        <v>370244.76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59</v>
      </c>
      <c r="B31" s="37" t="s">
        <v>14</v>
      </c>
      <c r="C31" s="49">
        <v>332.78</v>
      </c>
      <c r="D31" s="37">
        <v>1531</v>
      </c>
      <c r="E31" s="37">
        <v>1531</v>
      </c>
      <c r="F31" s="36">
        <f>Table132[[#This Row],[New position]]-Table132[[#This Row],[Old position]]</f>
        <v>0</v>
      </c>
      <c r="G31" s="37">
        <f>ROUND(Table132[[#This Row],[Target allocation ($)]]/(IF(G81&gt;0, G67,E67)*C18)*100,3)</f>
        <v>0.182</v>
      </c>
      <c r="H31" s="42">
        <f>Table132[[#This Row],[New position]]*Table132[[#This Row],[Last_Price]]</f>
        <v>509486.17999999993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60</v>
      </c>
      <c r="B32" s="37" t="s">
        <v>14</v>
      </c>
      <c r="C32" s="49">
        <v>348.59</v>
      </c>
      <c r="D32" s="37">
        <v>1326</v>
      </c>
      <c r="E32" s="37">
        <v>1326</v>
      </c>
      <c r="F32" s="36">
        <f>Table132[[#This Row],[New position]]-Table132[[#This Row],[Old position]]</f>
        <v>0</v>
      </c>
      <c r="G32" s="37">
        <f>ROUND(Table132[[#This Row],[Target allocation ($)]]/(IF(G81&gt;0, G67,E67)*C18)*100,3)</f>
        <v>0.16500000000000001</v>
      </c>
      <c r="H32" s="42">
        <f>Table132[[#This Row],[New position]]*Table132[[#This Row],[Last_Price]]</f>
        <v>462230.33999999997</v>
      </c>
      <c r="I32" s="30"/>
      <c r="L32"/>
      <c r="M32"/>
      <c r="N32"/>
      <c r="O32"/>
      <c r="P32"/>
      <c r="Q32"/>
      <c r="R32"/>
    </row>
    <row r="33" spans="1:18" x14ac:dyDescent="0.25">
      <c r="A33" s="47" t="s">
        <v>61</v>
      </c>
      <c r="B33" s="37" t="s">
        <v>14</v>
      </c>
      <c r="C33" s="49">
        <v>127.88</v>
      </c>
      <c r="D33" s="37">
        <v>3304</v>
      </c>
      <c r="E33" s="37">
        <v>3304</v>
      </c>
      <c r="F33" s="36">
        <f>Table132[[#This Row],[New position]]-Table132[[#This Row],[Old position]]</f>
        <v>0</v>
      </c>
      <c r="G33" s="37">
        <f>ROUND(Table132[[#This Row],[Target allocation ($)]]/(IF(G81&gt;0, G67,E67)*C18)*100,3)</f>
        <v>0.151</v>
      </c>
      <c r="H33" s="42">
        <f>Table132[[#This Row],[New position]]*Table132[[#This Row],[Last_Price]]</f>
        <v>422515.51999999996</v>
      </c>
      <c r="I33" s="57"/>
      <c r="L33"/>
      <c r="M33"/>
      <c r="N33"/>
      <c r="O33"/>
      <c r="P33"/>
      <c r="Q33"/>
      <c r="R33"/>
    </row>
    <row r="34" spans="1:18" x14ac:dyDescent="0.25">
      <c r="A34" s="47" t="s">
        <v>66</v>
      </c>
      <c r="B34" s="37" t="s">
        <v>14</v>
      </c>
      <c r="C34" s="49">
        <v>149.94</v>
      </c>
      <c r="D34" s="37">
        <v>2704</v>
      </c>
      <c r="E34" s="37">
        <v>2704</v>
      </c>
      <c r="F34" s="36">
        <f>Table132[[#This Row],[New position]]-Table132[[#This Row],[Old position]]</f>
        <v>0</v>
      </c>
      <c r="G34" s="37">
        <f>ROUND(Table132[[#This Row],[Target allocation ($)]]/(IF(G81&gt;0, G67,E67)*C18)*100,3)</f>
        <v>0.14499999999999999</v>
      </c>
      <c r="H34" s="42">
        <f>Table132[[#This Row],[New position]]*Table132[[#This Row],[Last_Price]]</f>
        <v>405437.76</v>
      </c>
      <c r="I34" s="57"/>
      <c r="L34"/>
      <c r="M34"/>
      <c r="N34"/>
      <c r="O34"/>
      <c r="P34"/>
      <c r="Q34"/>
      <c r="R34"/>
    </row>
    <row r="35" spans="1:18" x14ac:dyDescent="0.25">
      <c r="A35" s="37" t="s">
        <v>68</v>
      </c>
      <c r="B35" s="37" t="s">
        <v>14</v>
      </c>
      <c r="C35" s="49">
        <v>107.7</v>
      </c>
      <c r="D35" s="37">
        <v>3280</v>
      </c>
      <c r="E35" s="37">
        <v>3280</v>
      </c>
      <c r="F35" s="36">
        <f>Table132[[#This Row],[New position]]-Table132[[#This Row],[Old position]]</f>
        <v>0</v>
      </c>
      <c r="G35" s="37">
        <f>ROUND(Table132[[#This Row],[Target allocation ($)]]/(IF(G81&gt;0, G67,E67)*C18)*100,3)</f>
        <v>0.126</v>
      </c>
      <c r="H35" s="42">
        <f>Table132[[#This Row],[New position]]*Table132[[#This Row],[Last_Price]]</f>
        <v>353256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76</v>
      </c>
      <c r="B36" s="37" t="s">
        <v>14</v>
      </c>
      <c r="C36" s="49">
        <v>30.75</v>
      </c>
      <c r="D36" s="37">
        <v>161453</v>
      </c>
      <c r="E36" s="37">
        <v>161453</v>
      </c>
      <c r="F36" s="36">
        <f>Table132[[#This Row],[New position]]-Table132[[#This Row],[Old position]]</f>
        <v>0</v>
      </c>
      <c r="G36" s="37">
        <f>ROUND(Table132[[#This Row],[Target allocation ($)]]/(IF(G81&gt;0, G67,E67)*C18)*100,3)</f>
        <v>1.77</v>
      </c>
      <c r="H36" s="42">
        <f>Table132[[#This Row],[New position]]*Table132[[#This Row],[Last_Price]]</f>
        <v>4964679.75</v>
      </c>
      <c r="I36" s="54"/>
      <c r="L36" s="53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49">
        <v>40.380000000000003</v>
      </c>
      <c r="D37" s="37">
        <v>501400</v>
      </c>
      <c r="E37" s="37">
        <v>501400</v>
      </c>
      <c r="F37" s="36">
        <f>Table132[[#This Row],[New position]]-Table132[[#This Row],[Old position]]</f>
        <v>0</v>
      </c>
      <c r="G37" s="37">
        <f>ROUND(Table132[[#This Row],[Target allocation ($)]]/(IF(G81&gt;0, G67,E67)*C18)*100,3)</f>
        <v>7.2190000000000003</v>
      </c>
      <c r="H37" s="42">
        <f>Table132[[#This Row],[New position]]*Table132[[#This Row],[Last_Price]]</f>
        <v>20246532</v>
      </c>
      <c r="I37" s="58"/>
      <c r="L37" s="53"/>
      <c r="M37"/>
      <c r="N37"/>
      <c r="O37"/>
      <c r="P37"/>
      <c r="Q37"/>
      <c r="R37"/>
    </row>
    <row r="38" spans="1:18" x14ac:dyDescent="0.25">
      <c r="A38" s="37" t="s">
        <v>51</v>
      </c>
      <c r="B38" s="37" t="s">
        <v>14</v>
      </c>
      <c r="C38" s="49">
        <v>54.53</v>
      </c>
      <c r="D38" s="37">
        <v>252690</v>
      </c>
      <c r="E38" s="37">
        <v>252690</v>
      </c>
      <c r="F38" s="36">
        <f>Table132[[#This Row],[New position]]-Table132[[#This Row],[Old position]]</f>
        <v>0</v>
      </c>
      <c r="G38" s="37">
        <f>ROUND(Table132[[#This Row],[Target allocation ($)]]/(IF(G81&gt;0, G67,E67)*C18)*100,3)</f>
        <v>4.9130000000000003</v>
      </c>
      <c r="H38" s="42">
        <f>Table132[[#This Row],[New position]]*Table132[[#This Row],[Last_Price]]</f>
        <v>13779185.700000001</v>
      </c>
      <c r="I38" s="58"/>
      <c r="L38" s="53"/>
      <c r="M38"/>
      <c r="N38"/>
      <c r="O38"/>
      <c r="P38"/>
      <c r="Q38"/>
      <c r="R38"/>
    </row>
    <row r="39" spans="1:18" x14ac:dyDescent="0.25">
      <c r="A39" s="47" t="s">
        <v>52</v>
      </c>
      <c r="B39" s="47" t="s">
        <v>14</v>
      </c>
      <c r="C39" s="49">
        <v>103.56</v>
      </c>
      <c r="D39" s="37">
        <v>90439</v>
      </c>
      <c r="E39" s="37">
        <v>90439</v>
      </c>
      <c r="F39" s="36">
        <f>Table132[[#This Row],[New position]]-Table132[[#This Row],[Old position]]</f>
        <v>0</v>
      </c>
      <c r="G39" s="37">
        <f>ROUND(Table132[[#This Row],[Target allocation ($)]]/(IF(G81&gt;0, G67,E67)*C18)*100,3)</f>
        <v>3.339</v>
      </c>
      <c r="H39" s="42">
        <f>Table132[[#This Row],[New position]]*Table132[[#This Row],[Last_Price]]</f>
        <v>9365862.8399999999</v>
      </c>
      <c r="I39" s="29"/>
      <c r="L39" s="53"/>
      <c r="M39"/>
      <c r="N39"/>
      <c r="O39"/>
      <c r="P39"/>
      <c r="Q39"/>
      <c r="R39"/>
    </row>
    <row r="40" spans="1:18" x14ac:dyDescent="0.25">
      <c r="A40" s="47" t="s">
        <v>70</v>
      </c>
      <c r="B40" s="47" t="s">
        <v>14</v>
      </c>
      <c r="C40" s="49">
        <v>72.989999999999995</v>
      </c>
      <c r="D40" s="37">
        <v>79245</v>
      </c>
      <c r="E40" s="37">
        <v>79245</v>
      </c>
      <c r="F40" s="36">
        <f>Table132[[#This Row],[New position]]-Table132[[#This Row],[Old position]]</f>
        <v>0</v>
      </c>
      <c r="G40" s="37">
        <f>ROUND(Table132[[#This Row],[Target allocation ($)]]/(IF(G81&gt;0, G67,E67)*C18)*100,3)</f>
        <v>2.0619999999999998</v>
      </c>
      <c r="H40" s="42">
        <f>Table132[[#This Row],[New position]]*Table132[[#This Row],[Last_Price]]</f>
        <v>5784092.5499999998</v>
      </c>
      <c r="I40" s="29"/>
      <c r="L40" s="53"/>
      <c r="M40"/>
      <c r="N40"/>
      <c r="O40"/>
      <c r="P40"/>
      <c r="Q40"/>
      <c r="R40"/>
    </row>
    <row r="41" spans="1:18" x14ac:dyDescent="0.25">
      <c r="A41" s="47">
        <v>600519</v>
      </c>
      <c r="B41" s="47" t="s">
        <v>14</v>
      </c>
      <c r="C41" s="49">
        <v>233.03765690376599</v>
      </c>
      <c r="D41" s="37">
        <v>900</v>
      </c>
      <c r="E41" s="37">
        <v>900</v>
      </c>
      <c r="F41" s="36">
        <f>Table132[[#This Row],[New position]]-Table132[[#This Row],[Old position]]</f>
        <v>0</v>
      </c>
      <c r="G41" s="37">
        <f>ROUND(Table132[[#This Row],[Target allocation ($)]]/(IF(G81&gt;0, G67,E67)*C18)*100,3)</f>
        <v>7.4999999999999997E-2</v>
      </c>
      <c r="H41" s="42">
        <f>Table132[[#This Row],[New position]]*Table132[[#This Row],[Last_Price]]</f>
        <v>209733.8912133894</v>
      </c>
      <c r="I41" s="29"/>
      <c r="L41" s="53"/>
      <c r="M41"/>
      <c r="N41"/>
      <c r="O41"/>
      <c r="P41"/>
      <c r="Q41"/>
      <c r="R41"/>
    </row>
    <row r="42" spans="1:18" x14ac:dyDescent="0.25">
      <c r="A42" s="47">
        <v>700</v>
      </c>
      <c r="B42" s="47" t="s">
        <v>14</v>
      </c>
      <c r="C42" s="49">
        <v>35.083226632522397</v>
      </c>
      <c r="D42" s="37">
        <v>12900</v>
      </c>
      <c r="E42" s="37">
        <v>12900</v>
      </c>
      <c r="F42" s="36">
        <f>Table132[[#This Row],[New position]]-Table132[[#This Row],[Old position]]</f>
        <v>0</v>
      </c>
      <c r="G42" s="37">
        <f>ROUND(Table132[[#This Row],[Target allocation ($)]]/(IF(G81&gt;0, G67,E67)*C18)*100,3)</f>
        <v>0.161</v>
      </c>
      <c r="H42" s="42">
        <f>Table132[[#This Row],[New position]]*Table132[[#This Row],[Last_Price]]</f>
        <v>452573.62355953892</v>
      </c>
      <c r="I42" s="58"/>
      <c r="L42" s="53"/>
      <c r="M42"/>
      <c r="N42"/>
      <c r="O42"/>
      <c r="P42"/>
      <c r="Q42"/>
      <c r="R42"/>
    </row>
    <row r="43" spans="1:18" x14ac:dyDescent="0.25">
      <c r="A43" s="47">
        <v>9988</v>
      </c>
      <c r="B43" s="47" t="s">
        <v>14</v>
      </c>
      <c r="C43" s="49">
        <v>9.1997439180537803</v>
      </c>
      <c r="D43" s="37">
        <v>22000</v>
      </c>
      <c r="E43" s="37">
        <v>22000</v>
      </c>
      <c r="F43" s="36">
        <f>Table132[[#This Row],[New position]]-Table132[[#This Row],[Old position]]</f>
        <v>0</v>
      </c>
      <c r="G43" s="37">
        <f>ROUND(Table132[[#This Row],[Target allocation ($)]]/(IF(G81&gt;0, G67,E67)*C18)*100,3)</f>
        <v>7.1999999999999995E-2</v>
      </c>
      <c r="H43" s="42">
        <f>Table132[[#This Row],[New position]]*Table132[[#This Row],[Last_Price]]</f>
        <v>202394.36619718318</v>
      </c>
      <c r="I43" s="58"/>
      <c r="L43" s="53"/>
      <c r="M43"/>
      <c r="N43"/>
      <c r="O43"/>
      <c r="P43"/>
      <c r="Q43"/>
      <c r="R43"/>
    </row>
    <row r="44" spans="1:18" x14ac:dyDescent="0.25">
      <c r="A44" s="47">
        <v>9888</v>
      </c>
      <c r="B44" s="47" t="s">
        <v>14</v>
      </c>
      <c r="C44" s="49">
        <v>14.1997439180538</v>
      </c>
      <c r="D44" s="37">
        <v>15600</v>
      </c>
      <c r="E44" s="37">
        <v>15600</v>
      </c>
      <c r="F44" s="36">
        <f>Table132[[#This Row],[New position]]-Table132[[#This Row],[Old position]]</f>
        <v>0</v>
      </c>
      <c r="G44" s="37">
        <f>ROUND(Table132[[#This Row],[Target allocation ($)]]/(IF(G81&gt;0, G67,E67)*C18)*100,3)</f>
        <v>7.9000000000000001E-2</v>
      </c>
      <c r="H44" s="42">
        <f>Table132[[#This Row],[New position]]*Table132[[#This Row],[Last_Price]]</f>
        <v>221516.00512163929</v>
      </c>
      <c r="I44" s="58"/>
      <c r="L44" s="53"/>
      <c r="M44"/>
      <c r="N44"/>
      <c r="O44"/>
      <c r="P44"/>
      <c r="Q44"/>
      <c r="R44"/>
    </row>
    <row r="45" spans="1:18" x14ac:dyDescent="0.25">
      <c r="A45" s="47" t="s">
        <v>87</v>
      </c>
      <c r="B45" s="47" t="s">
        <v>14</v>
      </c>
      <c r="C45" s="49">
        <v>63.23</v>
      </c>
      <c r="D45" s="37">
        <v>17878</v>
      </c>
      <c r="E45" s="37">
        <v>17878</v>
      </c>
      <c r="F45" s="36">
        <f>Table132[[#This Row],[New position]]-Table132[[#This Row],[Old position]]</f>
        <v>0</v>
      </c>
      <c r="G45" s="37">
        <f>ROUND(Table132[[#This Row],[Target allocation ($)]]/(IF(G81&gt;0, G67,E67)*C18)*100,3)</f>
        <v>0.40300000000000002</v>
      </c>
      <c r="H45" s="42">
        <f>Table132[[#This Row],[New position]]*Table132[[#This Row],[Last_Price]]</f>
        <v>1130425.94</v>
      </c>
      <c r="I45" s="29"/>
      <c r="L45" s="53"/>
      <c r="M45"/>
      <c r="N45"/>
      <c r="O45"/>
      <c r="P45"/>
      <c r="Q45"/>
      <c r="R45"/>
    </row>
    <row r="46" spans="1:18" x14ac:dyDescent="0.25">
      <c r="A46" s="47" t="s">
        <v>86</v>
      </c>
      <c r="B46" s="47" t="s">
        <v>14</v>
      </c>
      <c r="C46" s="49">
        <v>101.28</v>
      </c>
      <c r="D46" s="37">
        <v>2750</v>
      </c>
      <c r="E46" s="37">
        <v>2750</v>
      </c>
      <c r="F46" s="36">
        <f>Table132[[#This Row],[New position]]-Table132[[#This Row],[Old position]]</f>
        <v>0</v>
      </c>
      <c r="G46" s="37">
        <f>ROUND(Table132[[#This Row],[Target allocation ($)]]/(IF(G81&gt;0, G67,E67)*C18)*100,3)</f>
        <v>9.9000000000000005E-2</v>
      </c>
      <c r="H46" s="42">
        <f>Table132[[#This Row],[New position]]*Table132[[#This Row],[Last_Price]]</f>
        <v>278520</v>
      </c>
      <c r="I46" s="58"/>
      <c r="L46" s="53"/>
      <c r="M46"/>
      <c r="N46"/>
      <c r="O46"/>
      <c r="P46"/>
      <c r="Q46"/>
      <c r="R46"/>
    </row>
    <row r="47" spans="1:18" x14ac:dyDescent="0.25">
      <c r="A47" s="47" t="s">
        <v>11</v>
      </c>
      <c r="B47" s="47" t="s">
        <v>14</v>
      </c>
      <c r="C47" s="49">
        <v>409.29</v>
      </c>
      <c r="D47" s="37">
        <v>182668</v>
      </c>
      <c r="E47" s="37">
        <v>182668</v>
      </c>
      <c r="F47" s="36">
        <f>Table132[[#This Row],[New position]]-Table132[[#This Row],[Old position]]</f>
        <v>0</v>
      </c>
      <c r="G47" s="37">
        <f>ROUND(Table132[[#This Row],[Target allocation ($)]]/(IF(G81&gt;0, G67,E67)*C18)*100,3)</f>
        <v>26.657</v>
      </c>
      <c r="H47" s="42">
        <f>Table132[[#This Row],[New position]]*Table132[[#This Row],[Last_Price]]</f>
        <v>74764185.719999999</v>
      </c>
      <c r="I47" s="58"/>
      <c r="L47" s="53"/>
      <c r="M47"/>
      <c r="N47"/>
      <c r="O47"/>
      <c r="P47"/>
      <c r="Q47"/>
      <c r="R47"/>
    </row>
    <row r="48" spans="1:18" x14ac:dyDescent="0.25">
      <c r="A48" s="47" t="s">
        <v>79</v>
      </c>
      <c r="B48" s="47" t="s">
        <v>14</v>
      </c>
      <c r="C48" s="49">
        <v>50.67</v>
      </c>
      <c r="D48" s="37">
        <v>68709</v>
      </c>
      <c r="E48" s="37">
        <v>68709</v>
      </c>
      <c r="F48" s="36">
        <f>Table132[[#This Row],[New position]]-Table132[[#This Row],[Old position]]</f>
        <v>0</v>
      </c>
      <c r="G48" s="37">
        <f>ROUND(Table132[[#This Row],[Target allocation ($)]]/(IF(G81&gt;0, G67,E67)*C18)*100,3)</f>
        <v>1.2410000000000001</v>
      </c>
      <c r="H48" s="42">
        <f>Table132[[#This Row],[New position]]*Table132[[#This Row],[Last_Price]]</f>
        <v>3481485.0300000003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80</v>
      </c>
      <c r="B49" s="47" t="s">
        <v>14</v>
      </c>
      <c r="C49" s="49">
        <v>98.75</v>
      </c>
      <c r="D49" s="37">
        <v>25521</v>
      </c>
      <c r="E49" s="37">
        <v>25521</v>
      </c>
      <c r="F49" s="36">
        <f>Table132[[#This Row],[New position]]-Table132[[#This Row],[Old position]]</f>
        <v>0</v>
      </c>
      <c r="G49" s="37">
        <f>ROUND(Table132[[#This Row],[Target allocation ($)]]/(IF(G81&gt;0, G67,E67)*C18)*100,3)</f>
        <v>0.89900000000000002</v>
      </c>
      <c r="H49" s="42">
        <f>Table132[[#This Row],[New position]]*Table132[[#This Row],[Last_Price]]</f>
        <v>2520198.75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49.08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($)]]/(IF(G81&gt;0, G67,E67)*C18)*100,3)</f>
        <v>0.47899999999999998</v>
      </c>
      <c r="H50" s="42">
        <f>Table132[[#This Row],[New position]]*Table132[[#This Row],[Last_Price]]</f>
        <v>1342288.92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36</v>
      </c>
      <c r="B51" s="47" t="s">
        <v>14</v>
      </c>
      <c r="C51" s="49">
        <v>80.92</v>
      </c>
      <c r="D51" s="37">
        <v>127560</v>
      </c>
      <c r="E51" s="37">
        <v>127560</v>
      </c>
      <c r="F51" s="36">
        <f>Table132[[#This Row],[New position]]-Table132[[#This Row],[Old position]]</f>
        <v>0</v>
      </c>
      <c r="G51" s="37">
        <f>ROUND(Table132[[#This Row],[Target allocation ($)]]/(IF(G81&gt;0, G67,E67)*C18)*100,3)</f>
        <v>3.68</v>
      </c>
      <c r="H51" s="42">
        <f>Table132[[#This Row],[New position]]*Table132[[#This Row],[Last_Price]]</f>
        <v>10322155.200000001</v>
      </c>
      <c r="I51" s="29"/>
      <c r="L51" s="53"/>
      <c r="M51"/>
      <c r="N51"/>
      <c r="O51"/>
      <c r="P51"/>
      <c r="Q51"/>
      <c r="R51"/>
    </row>
    <row r="52" spans="1:18" x14ac:dyDescent="0.25">
      <c r="A52" s="47" t="s">
        <v>37</v>
      </c>
      <c r="B52" s="47" t="s">
        <v>14</v>
      </c>
      <c r="C52" s="49">
        <v>71.87</v>
      </c>
      <c r="D52" s="37">
        <v>145699</v>
      </c>
      <c r="E52" s="37">
        <v>145699</v>
      </c>
      <c r="F52" s="36">
        <f>Table132[[#This Row],[New position]]-Table132[[#This Row],[Old position]]</f>
        <v>0</v>
      </c>
      <c r="G52" s="37">
        <f>ROUND(Table132[[#This Row],[Target allocation ($)]]/(IF(G81&gt;0, G67,E67)*C18)*100,3)</f>
        <v>3.734</v>
      </c>
      <c r="H52" s="42">
        <f>Table132[[#This Row],[New position]]*Table132[[#This Row],[Last_Price]]</f>
        <v>10471387.130000001</v>
      </c>
      <c r="I52" s="29"/>
      <c r="L52" s="53"/>
      <c r="M52"/>
      <c r="N52"/>
      <c r="O52"/>
      <c r="P52"/>
      <c r="Q52"/>
      <c r="R52"/>
    </row>
    <row r="53" spans="1:18" x14ac:dyDescent="0.25">
      <c r="A53" s="47" t="s">
        <v>47</v>
      </c>
      <c r="B53" s="47" t="s">
        <v>14</v>
      </c>
      <c r="C53" s="49">
        <v>98.8</v>
      </c>
      <c r="D53" s="37">
        <v>104876</v>
      </c>
      <c r="E53" s="37">
        <v>104876</v>
      </c>
      <c r="F53" s="36">
        <f>Table132[[#This Row],[New position]]-Table132[[#This Row],[Old position]]</f>
        <v>0</v>
      </c>
      <c r="G53" s="37">
        <f>ROUND(Table132[[#This Row],[Target allocation ($)]]/(IF(G81&gt;0, G67,E67)*C18)*100,3)</f>
        <v>3.6949999999999998</v>
      </c>
      <c r="H53" s="42">
        <f>Table132[[#This Row],[New position]]*Table132[[#This Row],[Last_Price]]</f>
        <v>10361748.799999999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48</v>
      </c>
      <c r="B54" s="47" t="s">
        <v>14</v>
      </c>
      <c r="C54" s="49">
        <v>64.48</v>
      </c>
      <c r="D54" s="37">
        <v>281513</v>
      </c>
      <c r="E54" s="37">
        <v>281513</v>
      </c>
      <c r="F54" s="36">
        <f>Table132[[#This Row],[New position]]-Table132[[#This Row],[Old position]]</f>
        <v>0</v>
      </c>
      <c r="G54" s="37">
        <f>ROUND(Table132[[#This Row],[Target allocation ($)]]/(IF(G81&gt;0, G67,E67)*C18)*100,3)</f>
        <v>6.4720000000000004</v>
      </c>
      <c r="H54" s="42">
        <f>Table132[[#This Row],[New position]]*Table132[[#This Row],[Last_Price]]</f>
        <v>18151958.240000002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44</v>
      </c>
      <c r="B55" s="47" t="s">
        <v>14</v>
      </c>
      <c r="C55" s="49">
        <v>291.7</v>
      </c>
      <c r="D55" s="37">
        <v>34544</v>
      </c>
      <c r="E55" s="37">
        <v>34544</v>
      </c>
      <c r="F55" s="36">
        <f>Table132[[#This Row],[New position]]-Table132[[#This Row],[Old position]]</f>
        <v>0</v>
      </c>
      <c r="G55" s="37">
        <f>ROUND(Table132[[#This Row],[Target allocation ($)]]/(IF(G81&gt;0, G67,E67)*C18)*100,3)</f>
        <v>3.593</v>
      </c>
      <c r="H55" s="42">
        <f>Table132[[#This Row],[New position]]*Table132[[#This Row],[Last_Price]]</f>
        <v>10076484.799999999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45</v>
      </c>
      <c r="B56" s="47" t="s">
        <v>14</v>
      </c>
      <c r="C56" s="49">
        <v>58.38</v>
      </c>
      <c r="D56" s="37">
        <v>171308</v>
      </c>
      <c r="E56" s="37">
        <v>171308</v>
      </c>
      <c r="F56" s="36">
        <f>Table132[[#This Row],[New position]]-Table132[[#This Row],[Old position]]</f>
        <v>0</v>
      </c>
      <c r="G56" s="37">
        <f>ROUND(Table132[[#This Row],[Target allocation ($)]]/(IF(G81&gt;0, G67,E67)*C18)*100,3)</f>
        <v>3.5659999999999998</v>
      </c>
      <c r="H56" s="42">
        <f>Table132[[#This Row],[New position]]*Table132[[#This Row],[Last_Price]]</f>
        <v>10000961.040000001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62</v>
      </c>
      <c r="B57" s="47" t="s">
        <v>14</v>
      </c>
      <c r="C57" s="49">
        <v>453.2</v>
      </c>
      <c r="D57" s="37">
        <v>13160</v>
      </c>
      <c r="E57" s="37">
        <v>13160</v>
      </c>
      <c r="F57" s="36">
        <f>Table132[[#This Row],[New position]]-Table132[[#This Row],[Old position]]</f>
        <v>0</v>
      </c>
      <c r="G57" s="37">
        <f>ROUND(Table132[[#This Row],[Target allocation ($)]]/(IF(G81&gt;0, G67,E67)*C18)*100,3)</f>
        <v>2.1269999999999998</v>
      </c>
      <c r="H57" s="42">
        <f>Table132[[#This Row],[New position]]*Table132[[#This Row],[Last_Price]]</f>
        <v>5964112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63</v>
      </c>
      <c r="B58" s="47" t="s">
        <v>14</v>
      </c>
      <c r="C58" s="49">
        <v>110.1</v>
      </c>
      <c r="D58" s="37">
        <v>93168</v>
      </c>
      <c r="E58" s="37">
        <v>93168</v>
      </c>
      <c r="F58" s="36">
        <f>Table132[[#This Row],[New position]]-Table132[[#This Row],[Old position]]</f>
        <v>0</v>
      </c>
      <c r="G58" s="37">
        <f>ROUND(Table132[[#This Row],[Target allocation ($)]]/(IF(G81&gt;0, G67,E67)*C18)*100,3)</f>
        <v>3.657</v>
      </c>
      <c r="H58" s="42">
        <f>Table132[[#This Row],[New position]]*Table132[[#This Row],[Last_Price]]</f>
        <v>10257796.799999999</v>
      </c>
      <c r="I58" s="58"/>
      <c r="L58" s="53"/>
      <c r="M58"/>
      <c r="N58"/>
      <c r="O58"/>
      <c r="P58"/>
      <c r="Q58"/>
      <c r="R58"/>
    </row>
    <row r="59" spans="1:18" x14ac:dyDescent="0.25">
      <c r="A59" s="47" t="s">
        <v>78</v>
      </c>
      <c r="B59" s="47" t="s">
        <v>14</v>
      </c>
      <c r="C59" s="49">
        <v>36.4</v>
      </c>
      <c r="D59" s="37">
        <v>229000</v>
      </c>
      <c r="E59" s="37">
        <v>229000</v>
      </c>
      <c r="F59" s="36">
        <f>Table132[[#This Row],[New position]]-Table132[[#This Row],[Old position]]</f>
        <v>0</v>
      </c>
      <c r="G59" s="37">
        <f>ROUND(Table132[[#This Row],[Target allocation ($)]]/(IF(G81&gt;0, G67,E67)*C18)*100,3)</f>
        <v>2.972</v>
      </c>
      <c r="H59" s="42">
        <f>Table132[[#This Row],[New position]]*Table132[[#This Row],[Last_Price]]</f>
        <v>8335600</v>
      </c>
      <c r="I59" s="58"/>
      <c r="L59" s="53"/>
      <c r="M59"/>
      <c r="N59"/>
      <c r="O59"/>
      <c r="P59"/>
      <c r="Q59"/>
      <c r="R59"/>
    </row>
    <row r="60" spans="1:18" x14ac:dyDescent="0.25">
      <c r="A60" s="47" t="s">
        <v>64</v>
      </c>
      <c r="B60" s="47" t="s">
        <v>14</v>
      </c>
      <c r="C60" s="49">
        <v>39</v>
      </c>
      <c r="D60" s="37">
        <v>7780</v>
      </c>
      <c r="E60" s="37">
        <v>7780</v>
      </c>
      <c r="F60" s="36">
        <f>Table132[[#This Row],[New position]]-Table132[[#This Row],[Old position]]</f>
        <v>0</v>
      </c>
      <c r="G60" s="37">
        <f>ROUND(Table132[[#This Row],[Target allocation ($)]]/(IF(G81&gt;0, G67,E67)*C18)*100,3)</f>
        <v>0.108</v>
      </c>
      <c r="H60" s="42">
        <f>Table132[[#This Row],[New position]]*Table132[[#This Row],[Last_Price]]</f>
        <v>303420</v>
      </c>
      <c r="I60" s="29"/>
      <c r="L60" s="53"/>
      <c r="M60"/>
      <c r="N60"/>
      <c r="O60"/>
      <c r="P60"/>
      <c r="Q60"/>
      <c r="R60"/>
    </row>
    <row r="61" spans="1:18" x14ac:dyDescent="0.25">
      <c r="A61" s="47" t="s">
        <v>65</v>
      </c>
      <c r="B61" s="47" t="s">
        <v>14</v>
      </c>
      <c r="C61" s="49">
        <v>173.06</v>
      </c>
      <c r="D61" s="37">
        <v>2624</v>
      </c>
      <c r="E61" s="37">
        <v>2624</v>
      </c>
      <c r="F61" s="36">
        <f>Table132[[#This Row],[New position]]-Table132[[#This Row],[Old position]]</f>
        <v>0</v>
      </c>
      <c r="G61" s="37">
        <f>ROUND(Table132[[#This Row],[Target allocation ($)]]/(IF(G81&gt;0, G67,E67)*C18)*100,3)</f>
        <v>0.16200000000000001</v>
      </c>
      <c r="H61" s="42">
        <f>Table132[[#This Row],[New position]]*Table132[[#This Row],[Last_Price]]</f>
        <v>454109.44</v>
      </c>
      <c r="I61" s="58"/>
      <c r="L61" s="53"/>
      <c r="M61"/>
      <c r="N61"/>
      <c r="O61"/>
      <c r="P61"/>
      <c r="Q61"/>
      <c r="R61"/>
    </row>
    <row r="62" spans="1:18" x14ac:dyDescent="0.25">
      <c r="A62" s="47" t="s">
        <v>67</v>
      </c>
      <c r="B62" s="47" t="s">
        <v>14</v>
      </c>
      <c r="C62" s="49">
        <v>191</v>
      </c>
      <c r="D62" s="37">
        <v>54286</v>
      </c>
      <c r="E62" s="37">
        <v>54286</v>
      </c>
      <c r="F62" s="36">
        <f>Table132[[#This Row],[New position]]-Table132[[#This Row],[Old position]]</f>
        <v>0</v>
      </c>
      <c r="G62" s="37">
        <f>ROUND(Table132[[#This Row],[Target allocation ($)]]/(IF(G81&gt;0, G67,E67)*C18)*100,3)</f>
        <v>3.6970000000000001</v>
      </c>
      <c r="H62" s="42">
        <f>Table132[[#This Row],[New position]]*Table132[[#This Row],[Last_Price]]</f>
        <v>10368626</v>
      </c>
      <c r="I62" s="29"/>
      <c r="L62" s="53"/>
      <c r="M62"/>
      <c r="N62"/>
      <c r="O62"/>
      <c r="P62"/>
      <c r="Q62"/>
      <c r="R62"/>
    </row>
    <row r="63" spans="1:18" x14ac:dyDescent="0.25">
      <c r="A63" s="47"/>
      <c r="B63" s="47"/>
      <c r="C63" s="48"/>
      <c r="D63" s="38"/>
      <c r="E63" s="63"/>
      <c r="F63" s="34"/>
      <c r="G63" s="37"/>
      <c r="H63" s="49"/>
      <c r="I63" s="58"/>
      <c r="L63" s="53"/>
      <c r="M63"/>
      <c r="N63"/>
      <c r="O63"/>
      <c r="P63"/>
      <c r="Q63"/>
      <c r="R63"/>
    </row>
    <row r="64" spans="1:18" x14ac:dyDescent="0.25">
      <c r="A64" s="47"/>
      <c r="B64" s="47"/>
      <c r="C64" s="49"/>
      <c r="D64" s="37"/>
      <c r="E64" s="37"/>
      <c r="F64" s="36"/>
      <c r="G64" s="37"/>
      <c r="H64" s="49"/>
      <c r="I64" s="58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9"/>
      <c r="D65" s="37"/>
      <c r="E65" s="37"/>
      <c r="F65" s="34"/>
      <c r="G65" s="37"/>
      <c r="H65" s="49"/>
      <c r="I65" s="51"/>
      <c r="L65"/>
      <c r="M65"/>
      <c r="N65"/>
      <c r="O65"/>
      <c r="P65"/>
      <c r="Q65"/>
      <c r="R65"/>
    </row>
    <row r="66" spans="1:18" x14ac:dyDescent="0.25">
      <c r="A66" s="47"/>
      <c r="B66" s="47"/>
      <c r="C66" s="48"/>
      <c r="D66" s="38"/>
      <c r="E66" s="59" t="s">
        <v>49</v>
      </c>
      <c r="F66" s="34"/>
      <c r="G66" s="60" t="s">
        <v>50</v>
      </c>
      <c r="H66" s="49"/>
      <c r="I66" s="51"/>
      <c r="L66"/>
      <c r="M66"/>
      <c r="N66"/>
      <c r="O66"/>
      <c r="P66"/>
      <c r="Q66"/>
      <c r="R66"/>
    </row>
    <row r="67" spans="1:18" ht="30" x14ac:dyDescent="0.25">
      <c r="A67" s="47" t="s">
        <v>32</v>
      </c>
      <c r="B67" s="47"/>
      <c r="C67" s="48"/>
      <c r="D67" s="38"/>
      <c r="E67" s="37">
        <f xml:space="preserve"> IF(G81&gt;0, (C19+ABS(G81*G67))/C15, C19/C15)</f>
        <v>5.5</v>
      </c>
      <c r="F67" s="34"/>
      <c r="G67" s="37">
        <v>5.5</v>
      </c>
      <c r="H67" s="49"/>
      <c r="I67" s="51"/>
      <c r="L67"/>
      <c r="M67"/>
      <c r="N67"/>
      <c r="O67"/>
      <c r="P67"/>
      <c r="Q67"/>
      <c r="R67"/>
    </row>
    <row r="68" spans="1:18" ht="15" customHeight="1" x14ac:dyDescent="0.25">
      <c r="A68" s="37" t="s">
        <v>38</v>
      </c>
      <c r="B68" s="37"/>
      <c r="C68" s="37"/>
      <c r="D68" s="50" t="str">
        <f>Table132[[#This Row],[Symbol]]</f>
        <v>SingleStocks</v>
      </c>
      <c r="E68" s="37">
        <f>ROUND(SUM(G22:G35)/100, 3)</f>
        <v>2.1000000000000001E-2</v>
      </c>
      <c r="F68" s="50" t="str">
        <f>Table132[[#This Row],[Symbol]]</f>
        <v>SingleStocks</v>
      </c>
      <c r="G68" s="37">
        <f>SUM(H22:H35)/(G67*C18)</f>
        <v>2.1308633723806657E-2</v>
      </c>
      <c r="H68" s="37"/>
      <c r="I68" s="30"/>
      <c r="L68"/>
      <c r="M68"/>
      <c r="N68"/>
      <c r="O68"/>
      <c r="P68"/>
      <c r="Q68"/>
      <c r="R68"/>
    </row>
    <row r="69" spans="1:18" ht="15" customHeight="1" x14ac:dyDescent="0.25">
      <c r="A69" s="47" t="s">
        <v>82</v>
      </c>
      <c r="B69" s="47"/>
      <c r="C69" s="48"/>
      <c r="D69" s="50" t="str">
        <f>Table132[[#This Row],[Symbol]]</f>
        <v>Semiconductor</v>
      </c>
      <c r="E69" s="37">
        <f>ROUND(SUM(G36)/100, 3)</f>
        <v>1.7999999999999999E-2</v>
      </c>
      <c r="F69" s="50" t="str">
        <f>Table132[[#This Row],[Symbol]]</f>
        <v>Semiconductor</v>
      </c>
      <c r="G69" s="37">
        <f>SUM(H36)/(G67*C18)</f>
        <v>1.7701777234556269E-2</v>
      </c>
      <c r="H69" s="49"/>
      <c r="I69" s="57"/>
      <c r="L69"/>
      <c r="M69"/>
      <c r="N69"/>
      <c r="O69"/>
      <c r="P69"/>
      <c r="Q69"/>
      <c r="R69"/>
    </row>
    <row r="70" spans="1:18" ht="15.75" customHeight="1" x14ac:dyDescent="0.25">
      <c r="A70" s="47" t="s">
        <v>83</v>
      </c>
      <c r="B70" s="47"/>
      <c r="C70" s="48"/>
      <c r="D70" s="50" t="str">
        <f>Table132[[#This Row],[Symbol]]</f>
        <v>Small Cap</v>
      </c>
      <c r="E70" s="56">
        <f>ROUND(SUM(G37)/100, 3)</f>
        <v>7.1999999999999995E-2</v>
      </c>
      <c r="F70" s="50" t="str">
        <f>Table132[[#This Row],[Symbol]]</f>
        <v>Small Cap</v>
      </c>
      <c r="G70" s="56">
        <f>SUM(H37)/(G67*C18)</f>
        <v>7.2189872717633996E-2</v>
      </c>
      <c r="H70" s="49"/>
      <c r="I70" s="57"/>
      <c r="L70"/>
      <c r="M70"/>
      <c r="N70"/>
      <c r="O70"/>
      <c r="P70"/>
      <c r="Q70"/>
      <c r="R70"/>
    </row>
    <row r="71" spans="1:18" ht="15.75" customHeight="1" x14ac:dyDescent="0.25">
      <c r="A71" s="47" t="s">
        <v>71</v>
      </c>
      <c r="B71" s="47"/>
      <c r="C71" s="48"/>
      <c r="D71" s="50" t="str">
        <f>Table132[[#This Row],[Symbol]]</f>
        <v>S&amp;P</v>
      </c>
      <c r="E71" s="37">
        <f>ROUND(SUM(G38:G39)/100, 3)</f>
        <v>8.3000000000000004E-2</v>
      </c>
      <c r="F71" s="50" t="str">
        <f>Table132[[#This Row],[Symbol]]</f>
        <v>S&amp;P</v>
      </c>
      <c r="G71" s="37">
        <f>SUM(H38:H39)/(G67*C18)</f>
        <v>8.2524656970688143E-2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72</v>
      </c>
      <c r="B72" s="47"/>
      <c r="C72" s="48"/>
      <c r="D72" s="50" t="str">
        <f>Table132[[#This Row],[Symbol]]</f>
        <v>Dow Jones</v>
      </c>
      <c r="E72" s="37">
        <f>ROUND(SUM(G40)/100, 3)</f>
        <v>2.1000000000000001E-2</v>
      </c>
      <c r="F72" s="50" t="str">
        <f>Table132[[#This Row],[Symbol]]</f>
        <v>Dow Jones</v>
      </c>
      <c r="G72" s="37">
        <f>SUM(H40)/(G67*C18)</f>
        <v>2.0623428494890635E-2</v>
      </c>
      <c r="H72" s="49"/>
      <c r="I72" s="57"/>
      <c r="L72"/>
      <c r="M72"/>
      <c r="N72"/>
      <c r="O72"/>
      <c r="P72"/>
      <c r="Q72"/>
      <c r="R72"/>
    </row>
    <row r="73" spans="1:18" ht="14.25" customHeight="1" x14ac:dyDescent="0.25">
      <c r="A73" s="47" t="s">
        <v>81</v>
      </c>
      <c r="B73" s="47"/>
      <c r="C73" s="48"/>
      <c r="D73" s="50" t="str">
        <f>Table132[[#This Row],[Symbol]]</f>
        <v>Int Stocks</v>
      </c>
      <c r="E73" s="37">
        <f>ROUND(SUM(G41:G46)/100, 3)</f>
        <v>8.9999999999999993E-3</v>
      </c>
      <c r="F73" s="50" t="str">
        <f>Table132[[#This Row],[Symbol]]</f>
        <v>Int Stocks</v>
      </c>
      <c r="G73" s="37">
        <f>SUM(H41:H46)/(G67*C18)</f>
        <v>8.8966129614300431E-3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11</v>
      </c>
      <c r="B74" s="47"/>
      <c r="C74" s="48"/>
      <c r="D74" s="50" t="str">
        <f>Table132[[#This Row],[Symbol]]</f>
        <v>QQQ</v>
      </c>
      <c r="E74" s="56">
        <f>ROUND(SUM(G47:G48)/100, 3)</f>
        <v>0.27900000000000003</v>
      </c>
      <c r="F74" s="50" t="str">
        <f>Table132[[#This Row],[Symbol]]</f>
        <v>QQQ</v>
      </c>
      <c r="G74" s="56">
        <f>SUM(H47:H48)/(G67*C18)</f>
        <v>0.27898827375218616</v>
      </c>
      <c r="H74" s="49"/>
      <c r="I74" s="30"/>
      <c r="L74"/>
      <c r="M74"/>
      <c r="N74"/>
      <c r="O74"/>
      <c r="P74"/>
      <c r="Q74"/>
      <c r="R74"/>
    </row>
    <row r="75" spans="1:18" ht="15.75" customHeight="1" x14ac:dyDescent="0.25">
      <c r="A75" s="64" t="s">
        <v>84</v>
      </c>
      <c r="B75" s="47"/>
      <c r="C75" s="48"/>
      <c r="D75" s="50" t="str">
        <f>Table132[[#This Row],[Symbol]]</f>
        <v>Regional Bank</v>
      </c>
      <c r="E75" s="56">
        <f>ROUND(SUM(G49)/100, 3)</f>
        <v>8.9999999999999993E-3</v>
      </c>
      <c r="F75" s="50" t="str">
        <f>Table132[[#This Row],[Symbol]]</f>
        <v>Regional Bank</v>
      </c>
      <c r="G75" s="56">
        <f>SUM(H49)/(G67*C18)</f>
        <v>8.9858760495693923E-3</v>
      </c>
      <c r="H75" s="49"/>
      <c r="I75" s="30"/>
      <c r="L75"/>
      <c r="M75"/>
      <c r="N75"/>
      <c r="O75"/>
      <c r="P75"/>
      <c r="Q75"/>
      <c r="R75"/>
    </row>
    <row r="76" spans="1:18" ht="14.25" customHeight="1" x14ac:dyDescent="0.25">
      <c r="A76" s="37" t="s">
        <v>27</v>
      </c>
      <c r="B76" s="47"/>
      <c r="C76" s="48"/>
      <c r="D76" s="50" t="str">
        <f>Table132[[#This Row],[Symbol]]</f>
        <v>Bonds</v>
      </c>
      <c r="E76" s="37">
        <f>ROUND(SUM(G51:G59)/100, 3)</f>
        <v>0.33500000000000002</v>
      </c>
      <c r="F76" s="50" t="str">
        <f>Table132[[#This Row],[Symbol]]</f>
        <v>Bonds</v>
      </c>
      <c r="G76" s="37">
        <f>SUM(H51:H59)/(G67*C18)</f>
        <v>0.33495493204939525</v>
      </c>
      <c r="H76" s="49"/>
      <c r="I76" s="30"/>
      <c r="L76"/>
      <c r="M76"/>
      <c r="N76"/>
      <c r="O76"/>
      <c r="P76"/>
      <c r="Q76"/>
      <c r="R76"/>
    </row>
    <row r="77" spans="1:18" ht="14.25" customHeight="1" x14ac:dyDescent="0.25">
      <c r="A77" s="47" t="s">
        <v>40</v>
      </c>
      <c r="B77" s="37"/>
      <c r="C77" s="37"/>
      <c r="D77" s="50" t="str">
        <f>Table132[[#This Row],[Symbol]]</f>
        <v>Gold</v>
      </c>
      <c r="E77" s="37">
        <f>ROUND(SUM(G62)/100,3)</f>
        <v>3.6999999999999998E-2</v>
      </c>
      <c r="F77" s="50" t="str">
        <f>Table132[[#This Row],[Symbol]]</f>
        <v>Gold</v>
      </c>
      <c r="G77" s="37">
        <f>SUM(H62)/(G67*C18)</f>
        <v>3.6969777895629261E-2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0" t="str">
        <f>Table132[[#This Row],[Symbol]]</f>
        <v>Commodities</v>
      </c>
      <c r="E78" s="37">
        <f>ROUND(SUM(G50)/100,3)</f>
        <v>5.0000000000000001E-3</v>
      </c>
      <c r="F78" s="50" t="str">
        <f>Table132[[#This Row],[Symbol]]</f>
        <v>Commodities</v>
      </c>
      <c r="G78" s="37">
        <f>SUM(H50)/(G67*C18)</f>
        <v>4.7859883502562508E-3</v>
      </c>
      <c r="H78" s="37"/>
      <c r="I78" s="32"/>
      <c r="L78"/>
      <c r="M78"/>
      <c r="N78"/>
      <c r="O78"/>
      <c r="P78"/>
      <c r="Q78"/>
      <c r="R78"/>
    </row>
    <row r="79" spans="1:18" ht="14.25" customHeight="1" x14ac:dyDescent="0.25">
      <c r="A79" s="47" t="s">
        <v>39</v>
      </c>
      <c r="B79" s="47"/>
      <c r="C79" s="48"/>
      <c r="D79" s="50" t="str">
        <f>Table132[[#This Row],[Symbol]]</f>
        <v>Crypto</v>
      </c>
      <c r="E79" s="56">
        <f>ROUND(SUM(G60:G61)/100,3)</f>
        <v>3.0000000000000001E-3</v>
      </c>
      <c r="F79" s="50" t="str">
        <f>Table132[[#This Row],[Symbol]]</f>
        <v>Crypto</v>
      </c>
      <c r="G79" s="56">
        <f>SUM(H60:H61)/(G67*C18)</f>
        <v>2.7010035028942514E-3</v>
      </c>
      <c r="H79" s="49"/>
      <c r="I79" s="55"/>
      <c r="L79"/>
      <c r="M79"/>
      <c r="N79"/>
      <c r="O79"/>
      <c r="P79"/>
      <c r="Q79"/>
      <c r="R79"/>
    </row>
    <row r="80" spans="1:18" ht="14.25" customHeight="1" x14ac:dyDescent="0.25">
      <c r="A80" s="37" t="s">
        <v>23</v>
      </c>
      <c r="B80" s="37"/>
      <c r="C80" s="37"/>
      <c r="D80" s="50" t="str">
        <f>Table132[[#This Row],[Symbol]]</f>
        <v>Cash</v>
      </c>
      <c r="E80" s="37">
        <f>1-SUM(E68:E79)</f>
        <v>0.10799999999999998</v>
      </c>
      <c r="F80" s="50" t="str">
        <f>Table132[[#This Row],[Symbol]]</f>
        <v>Cash</v>
      </c>
      <c r="G80" s="37">
        <f>1-SUM(G68:G79)</f>
        <v>0.10936916629706384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C18*E80</f>
        <v>5507258.1479999991</v>
      </c>
      <c r="F81" s="34"/>
      <c r="G81" s="37">
        <f>C18*G80</f>
        <v>5577076.2243469609</v>
      </c>
      <c r="H81" s="42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2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3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3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4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2023-12-26T10:35:51Z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