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409" documentId="14_{A48F4B07-3EF3-43E5-91B2-4CA340E6013A}" xr6:coauthVersionLast="47" xr6:coauthVersionMax="47" xr10:uidLastSave="{3AD167F5-AB2A-40F4-BE6C-324092B0FE7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3" l="1"/>
  <c r="H64" i="3"/>
  <c r="F65" i="3"/>
  <c r="F64" i="3"/>
  <c r="H47" i="3" l="1"/>
  <c r="F47" i="3"/>
  <c r="H63" i="3" l="1"/>
  <c r="F63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F74" i="3"/>
  <c r="F72" i="3"/>
  <c r="F71" i="3"/>
  <c r="F70" i="3"/>
  <c r="F69" i="3"/>
  <c r="F76" i="3"/>
  <c r="F45" i="3"/>
  <c r="F51" i="3"/>
  <c r="H62" i="3" l="1"/>
  <c r="F61" i="3"/>
  <c r="F62" i="3"/>
  <c r="F22" i="3"/>
  <c r="H22" i="3"/>
  <c r="F23" i="3"/>
  <c r="H23" i="3"/>
  <c r="F24" i="3"/>
  <c r="H24" i="3"/>
  <c r="F25" i="3"/>
  <c r="H25" i="3"/>
  <c r="H61" i="3" l="1"/>
  <c r="F73" i="3" l="1"/>
  <c r="F75" i="3"/>
  <c r="F77" i="3"/>
  <c r="F78" i="3"/>
  <c r="F79" i="3"/>
  <c r="F80" i="3"/>
  <c r="F81" i="3"/>
  <c r="H60" i="3"/>
  <c r="F60" i="3"/>
  <c r="H41" i="3" l="1"/>
  <c r="H59" i="3"/>
  <c r="F59" i="3" l="1"/>
  <c r="H40" i="3" l="1"/>
  <c r="H42" i="3"/>
  <c r="H43" i="3"/>
  <c r="H44" i="3"/>
  <c r="H50" i="3"/>
  <c r="H45" i="3"/>
  <c r="H51" i="3"/>
  <c r="H48" i="3"/>
  <c r="H49" i="3"/>
  <c r="H46" i="3"/>
  <c r="H52" i="3"/>
  <c r="H53" i="3"/>
  <c r="H54" i="3"/>
  <c r="H55" i="3"/>
  <c r="H56" i="3"/>
  <c r="H57" i="3"/>
  <c r="H58" i="3"/>
  <c r="F40" i="3"/>
  <c r="F41" i="3"/>
  <c r="F42" i="3"/>
  <c r="F43" i="3"/>
  <c r="F44" i="3"/>
  <c r="F50" i="3"/>
  <c r="F48" i="3"/>
  <c r="F49" i="3"/>
  <c r="F46" i="3"/>
  <c r="F52" i="3"/>
  <c r="F53" i="3"/>
  <c r="F54" i="3"/>
  <c r="F55" i="3"/>
  <c r="F56" i="3"/>
  <c r="F57" i="3"/>
  <c r="F58" i="3"/>
  <c r="F33" i="3" l="1"/>
  <c r="F34" i="3"/>
  <c r="F35" i="3"/>
  <c r="F36" i="3"/>
  <c r="F37" i="3"/>
  <c r="F38" i="3"/>
  <c r="F39" i="3"/>
  <c r="H38" i="3"/>
  <c r="H39" i="3"/>
  <c r="H33" i="3" l="1"/>
  <c r="H34" i="3"/>
  <c r="H36" i="3" l="1"/>
  <c r="H37" i="3"/>
  <c r="H31" i="3"/>
  <c r="H32" i="3" l="1"/>
  <c r="H30" i="3" l="1"/>
  <c r="H29" i="3"/>
  <c r="H35" i="3"/>
  <c r="H26" i="3" l="1"/>
  <c r="H27" i="3"/>
  <c r="H28" i="3"/>
  <c r="C19" i="3" l="1" a="1"/>
  <c r="C19" i="3" s="1"/>
  <c r="C10" i="3" s="1"/>
  <c r="F30" i="3"/>
  <c r="F29" i="3"/>
  <c r="F32" i="3"/>
  <c r="F26" i="3" l="1"/>
  <c r="F27" i="3"/>
  <c r="F28" i="3"/>
  <c r="F31" i="3"/>
  <c r="C18" i="3"/>
  <c r="C6" i="3" l="1"/>
  <c r="C5" i="3"/>
  <c r="C14" i="3"/>
  <c r="C13" i="3"/>
  <c r="C11" i="3"/>
  <c r="C8" i="3"/>
  <c r="C4" i="3"/>
  <c r="C3" i="3"/>
  <c r="C12" i="3"/>
  <c r="C9" i="3"/>
  <c r="C7" i="3"/>
  <c r="G78" i="3"/>
  <c r="G79" i="3"/>
  <c r="G76" i="3"/>
  <c r="G77" i="3"/>
  <c r="G75" i="3"/>
  <c r="G74" i="3"/>
  <c r="G69" i="3"/>
  <c r="G80" i="3"/>
  <c r="G73" i="3"/>
  <c r="G72" i="3"/>
  <c r="G71" i="3"/>
  <c r="G70" i="3"/>
  <c r="C2" i="3"/>
  <c r="G81" i="3" l="1"/>
  <c r="G82" i="3" s="1"/>
  <c r="G65" i="3" l="1"/>
  <c r="G64" i="3"/>
  <c r="G63" i="3"/>
  <c r="G46" i="3"/>
  <c r="G47" i="3"/>
  <c r="E68" i="3"/>
  <c r="G50" i="3" s="1"/>
  <c r="E76" i="3" s="1"/>
  <c r="G34" i="3" l="1"/>
  <c r="G62" i="3"/>
  <c r="E78" i="3"/>
  <c r="G26" i="3"/>
  <c r="G23" i="3"/>
  <c r="G25" i="3"/>
  <c r="G22" i="3"/>
  <c r="G24" i="3"/>
  <c r="G61" i="3"/>
  <c r="G60" i="3"/>
  <c r="G58" i="3"/>
  <c r="G45" i="3"/>
  <c r="G51" i="3"/>
  <c r="E79" i="3" s="1"/>
  <c r="G38" i="3"/>
  <c r="G59" i="3"/>
  <c r="G54" i="3"/>
  <c r="G55" i="3"/>
  <c r="G39" i="3"/>
  <c r="G53" i="3"/>
  <c r="G40" i="3"/>
  <c r="E73" i="3" s="1"/>
  <c r="G33" i="3"/>
  <c r="G37" i="3"/>
  <c r="E71" i="3" s="1"/>
  <c r="G44" i="3"/>
  <c r="G42" i="3"/>
  <c r="G48" i="3"/>
  <c r="G49" i="3"/>
  <c r="G56" i="3"/>
  <c r="G41" i="3"/>
  <c r="G57" i="3"/>
  <c r="G43" i="3"/>
  <c r="G30" i="3"/>
  <c r="G52" i="3"/>
  <c r="G27" i="3"/>
  <c r="G28" i="3"/>
  <c r="G32" i="3"/>
  <c r="G35" i="3"/>
  <c r="G29" i="3"/>
  <c r="G31" i="3"/>
  <c r="G36" i="3"/>
  <c r="E70" i="3" s="1"/>
  <c r="E74" i="3" l="1"/>
  <c r="E75" i="3"/>
  <c r="E77" i="3"/>
  <c r="E80" i="3"/>
  <c r="E72" i="3"/>
  <c r="E69" i="3"/>
  <c r="E81" i="3" l="1"/>
  <c r="E82" i="3" s="1"/>
</calcChain>
</file>

<file path=xl/sharedStrings.xml><?xml version="1.0" encoding="utf-8"?>
<sst xmlns="http://schemas.openxmlformats.org/spreadsheetml/2006/main" count="137" uniqueCount="92">
  <si>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</si>
  <si>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</si>
  <si>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</si>
  <si>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</si>
  <si>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</si>
  <si>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</si>
  <si>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</si>
  <si>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</si>
  <si>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</si>
  <si>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</si>
  <si>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</si>
  <si>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</si>
  <si>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</si>
  <si>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</si>
  <si>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</si>
  <si>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</si>
  <si>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</si>
  <si>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</si>
  <si>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</si>
  <si>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</si>
  <si>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</si>
  <si>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</si>
  <si>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</si>
  <si>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</si>
  <si>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</si>
  <si>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</si>
  <si>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</si>
  <si>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</si>
  <si>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</si>
  <si>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</si>
  <si>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</si>
  <si>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</si>
  <si>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</si>
  <si>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</si>
  <si>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</si>
  <si>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</si>
  <si>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</si>
  <si>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</si>
  <si>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</si>
  <si>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</si>
  <si>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</si>
  <si>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</si>
  <si>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</si>
  <si>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</si>
  <si>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</si>
  <si>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</si>
  <si>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</si>
  <si>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</si>
  <si>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</si>
  <si>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</si>
  <si>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</si>
  <si>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</si>
  <si>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</si>
  <si>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</si>
  <si>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</si>
  <si>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</si>
  <si>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</si>
  <si>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</si>
  <si>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</si>
  <si>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</si>
  <si>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</si>
  <si>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</si>
  <si>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</si>
  <si>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</si>
  <si>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</si>
  <si>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</si>
  <si>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</si>
  <si>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</si>
  <si>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</si>
  <si>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</si>
  <si>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</si>
  <si>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</si>
  <si>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</si>
  <si>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</si>
  <si>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</si>
  <si>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</si>
  <si>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</si>
  <si>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</si>
  <si>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</si>
  <si>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</si>
  <si>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</si>
  <si>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</si>
  <si>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</si>
  <si>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</si>
  <si>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</si>
  <si>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</si>
  <si>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</si>
  <si>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</si>
  <si>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</si>
  <si>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</si>
  <si>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</si>
  <si>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Only completed 299,000 shares due to low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</si>
</sst>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Sheet1!$D$69:$D$81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Sheet1!$E$69:$E$81</c:f>
              <c:numCache>
                <c:formatCode>General</c:formatCode>
                <c:ptCount val="13"/>
                <c:pt idx="0">
                  <c:v>1.7999999999999999E-2</c:v>
                </c:pt>
                <c:pt idx="1">
                  <c:v>1.7000000000000001E-2</c:v>
                </c:pt>
                <c:pt idx="2">
                  <c:v>6.9000000000000006E-2</c:v>
                </c:pt>
                <c:pt idx="3">
                  <c:v>7.6999999999999999E-2</c:v>
                </c:pt>
                <c:pt idx="4">
                  <c:v>1.9E-2</c:v>
                </c:pt>
                <c:pt idx="5">
                  <c:v>8.0000000000000002E-3</c:v>
                </c:pt>
                <c:pt idx="6">
                  <c:v>0.25900000000000001</c:v>
                </c:pt>
                <c:pt idx="7">
                  <c:v>8.9999999999999993E-3</c:v>
                </c:pt>
                <c:pt idx="8">
                  <c:v>0.252</c:v>
                </c:pt>
                <c:pt idx="9">
                  <c:v>1E-3</c:v>
                </c:pt>
                <c:pt idx="10">
                  <c:v>2E-3</c:v>
                </c:pt>
                <c:pt idx="11">
                  <c:v>6.0999999999999999E-2</c:v>
                </c:pt>
                <c:pt idx="12">
                  <c:v>0.20799999999999996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5" totalsRowShown="0" headerRowDxfId="13" dataDxfId="11" headerRowBorderDxfId="12" tableBorderDxfId="10" totalsRowBorderDxfId="9">
  <autoFilter ref="A21:I85" xr:uid="{00000000-0009-0000-0100-000001000000}"/>
  <sortState xmlns:xlrd2="http://schemas.microsoft.com/office/spreadsheetml/2017/richdata2" ref="A22:I84">
    <sortCondition ref="A21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3"/>
  <sheetViews>
    <sheetView tabSelected="1" topLeftCell="A34" zoomScale="115" zoomScaleNormal="115" workbookViewId="0">
      <selection activeCell="I52" sqref="I5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45288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4.564951860900293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SUM(H22:H35)/C18</f>
        <v>9.9907741401683403E-2</v>
      </c>
      <c r="D3"/>
      <c r="E3" s="24"/>
      <c r="F3" s="17"/>
      <c r="G3" s="17"/>
      <c r="H3" s="16"/>
    </row>
    <row r="4" spans="1:8" s="13" customFormat="1" x14ac:dyDescent="0.25">
      <c r="A4" s="61" t="s">
        <v>77</v>
      </c>
      <c r="B4" s="62"/>
      <c r="C4" s="15">
        <f>SUM(H36)/C18</f>
        <v>9.4896087316993241E-2</v>
      </c>
      <c r="D4"/>
      <c r="E4" s="24"/>
      <c r="F4" s="17"/>
      <c r="G4" s="17"/>
      <c r="H4" s="16"/>
    </row>
    <row r="5" spans="1:8" s="13" customFormat="1" x14ac:dyDescent="0.25">
      <c r="A5" s="67" t="s">
        <v>73</v>
      </c>
      <c r="B5" s="68"/>
      <c r="C5" s="15">
        <f>SUM(H37)/C18</f>
        <v>0.37854418835715165</v>
      </c>
      <c r="D5"/>
      <c r="E5" s="24"/>
      <c r="F5" s="17"/>
      <c r="G5" s="17"/>
      <c r="H5" s="16"/>
    </row>
    <row r="6" spans="1:8" s="13" customFormat="1" x14ac:dyDescent="0.25">
      <c r="A6" s="61" t="s">
        <v>69</v>
      </c>
      <c r="B6" s="62"/>
      <c r="C6" s="15">
        <f>SUM(H38:H39)/C18</f>
        <v>0.4230866840219496</v>
      </c>
      <c r="D6"/>
      <c r="E6" s="24"/>
      <c r="F6" s="17"/>
      <c r="G6" s="17"/>
      <c r="H6" s="16"/>
    </row>
    <row r="7" spans="1:8" s="13" customFormat="1" x14ac:dyDescent="0.25">
      <c r="A7" s="61" t="s">
        <v>74</v>
      </c>
      <c r="B7" s="62"/>
      <c r="C7" s="15">
        <f>SUM(H40)/C18</f>
        <v>0.10576267942197498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SUM(H41:H47)/C18</f>
        <v>5.1942403917376971E-2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SUM(H48:H49)/C18</f>
        <v>1.4226642835660961</v>
      </c>
      <c r="D9"/>
      <c r="E9" s="24"/>
      <c r="F9" s="17"/>
      <c r="G9" s="17"/>
      <c r="H9" s="16"/>
    </row>
    <row r="10" spans="1:8" s="13" customFormat="1" x14ac:dyDescent="0.25">
      <c r="A10" s="61" t="s">
        <v>85</v>
      </c>
      <c r="B10" s="62"/>
      <c r="C10" s="15">
        <f>SUM(H50)/C19</f>
        <v>1.0298123046116209E-2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SUM(H52:H60)/C18</f>
        <v>1.388614559002938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SUM(H51)/C18</f>
        <v>1.194765335112166E-2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SUM(H63)/C18</f>
        <v>5.5849225800731041E-3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SUM(H61:H62)/C18</f>
        <v>0.33791491301027643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55498567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55498567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253348286.7039496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43.99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($)]]/(IF(G82&gt;0, G68,E68)*C18)*100,3)</f>
        <v>0.183</v>
      </c>
      <c r="H22" s="42">
        <f>Table132[[#This Row],[New position]]*Table132[[#This Row],[Last_Price]]</f>
        <v>558892.95000000007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204.23</v>
      </c>
      <c r="D23" s="37">
        <v>759</v>
      </c>
      <c r="E23" s="37">
        <v>0</v>
      </c>
      <c r="F23" s="36">
        <f>Table132[[#This Row],[New position]]-Table132[[#This Row],[Old position]]</f>
        <v>-759</v>
      </c>
      <c r="G23" s="37">
        <f>ROUND(Table132[[#This Row],[Target allocation ($)]]/(IF(G82&gt;0, G68,E68)*C18)*100,3)</f>
        <v>0</v>
      </c>
      <c r="H23" s="42">
        <f>Table132[[#This Row],[New position]]*Table132[[#This Row],[Last_Price]]</f>
        <v>0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2307.4299999999998</v>
      </c>
      <c r="D24" s="37">
        <v>67</v>
      </c>
      <c r="E24" s="37">
        <v>0</v>
      </c>
      <c r="F24" s="36">
        <f>Table132[[#This Row],[New position]]-Table132[[#This Row],[Old position]]</f>
        <v>-67</v>
      </c>
      <c r="G24" s="37">
        <f>ROUND(Table132[[#This Row],[Target allocation ($)]]/(IF(G82&gt;0, G68,E68)*C18)*100,3)</f>
        <v>0</v>
      </c>
      <c r="H24" s="42">
        <f>Table132[[#This Row],[New position]]*Table132[[#This Row],[Last_Price]]</f>
        <v>0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193.83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($)]]/(IF(G82&gt;0, G68,E68)*C18)*100,3)</f>
        <v>0.18</v>
      </c>
      <c r="H25" s="42">
        <f>Table132[[#This Row],[New position]]*Table132[[#This Row],[Last_Price]]</f>
        <v>550283.37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374.81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($)]]/(IF(G82&gt;0, G68,E68)*C18)*100,3)</f>
        <v>0.17599999999999999</v>
      </c>
      <c r="H26" s="42">
        <f>Table132[[#This Row],[New position]]*Table132[[#This Row],[Last_Price]]</f>
        <v>538227.16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140.76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($)]]/(IF(G82&gt;0, G68,E68)*C18)*100,3)</f>
        <v>0.182</v>
      </c>
      <c r="H27" s="42">
        <f>Table132[[#This Row],[New position]]*Table132[[#This Row],[Last_Price]]</f>
        <v>555298.19999999995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40.65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($)]]/(IF(G82&gt;0, G68,E68)*C18)*100,3)</f>
        <v>0.09</v>
      </c>
      <c r="H28" s="42">
        <f>Table132[[#This Row],[New position]]*Table132[[#This Row],[Last_Price]]</f>
        <v>274631.39999999997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581.51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($)]]/(IF(G82&gt;0, G68,E68)*C18)*100,3)</f>
        <v>0.17399999999999999</v>
      </c>
      <c r="H29" s="42">
        <f>Table132[[#This Row],[New position]]*Table132[[#This Row],[Last_Price]]</f>
        <v>531500.14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764.23</v>
      </c>
      <c r="D30" s="37">
        <v>492</v>
      </c>
      <c r="E30" s="37">
        <v>492</v>
      </c>
      <c r="F30" s="36">
        <f>Table132[[#This Row],[New position]]-Table132[[#This Row],[Old position]]</f>
        <v>0</v>
      </c>
      <c r="G30" s="37">
        <f>ROUND(Table132[[#This Row],[Target allocation ($)]]/(IF(G82&gt;0, G68,E68)*C18)*100,3)</f>
        <v>0.123</v>
      </c>
      <c r="H30" s="42">
        <f>Table132[[#This Row],[New position]]*Table132[[#This Row],[Last_Price]]</f>
        <v>376001.16000000003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334.52</v>
      </c>
      <c r="D31" s="37">
        <v>1531</v>
      </c>
      <c r="E31" s="37">
        <v>1531</v>
      </c>
      <c r="F31" s="36">
        <f>Table132[[#This Row],[New position]]-Table132[[#This Row],[Old position]]</f>
        <v>0</v>
      </c>
      <c r="G31" s="37">
        <f>ROUND(Table132[[#This Row],[Target allocation ($)]]/(IF(G82&gt;0, G68,E68)*C18)*100,3)</f>
        <v>0.16800000000000001</v>
      </c>
      <c r="H31" s="42">
        <f>Table132[[#This Row],[New position]]*Table132[[#This Row],[Last_Price]]</f>
        <v>512150.12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348.53</v>
      </c>
      <c r="D32" s="37">
        <v>1326</v>
      </c>
      <c r="E32" s="37">
        <v>1326</v>
      </c>
      <c r="F32" s="36">
        <f>Table132[[#This Row],[New position]]-Table132[[#This Row],[Old position]]</f>
        <v>0</v>
      </c>
      <c r="G32" s="37">
        <f>ROUND(Table132[[#This Row],[Target allocation ($)]]/(IF(G82&gt;0, G68,E68)*C18)*100,3)</f>
        <v>0.151</v>
      </c>
      <c r="H32" s="42">
        <f>Table132[[#This Row],[New position]]*Table132[[#This Row],[Last_Price]]</f>
        <v>462150.77999999997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61</v>
      </c>
      <c r="B33" s="37" t="s">
        <v>14</v>
      </c>
      <c r="C33" s="49">
        <v>127.45</v>
      </c>
      <c r="D33" s="37">
        <v>3304</v>
      </c>
      <c r="E33" s="37">
        <v>3304</v>
      </c>
      <c r="F33" s="36">
        <f>Table132[[#This Row],[New position]]-Table132[[#This Row],[Old position]]</f>
        <v>0</v>
      </c>
      <c r="G33" s="37">
        <f>ROUND(Table132[[#This Row],[Target allocation ($)]]/(IF(G82&gt;0, G68,E68)*C18)*100,3)</f>
        <v>0.13800000000000001</v>
      </c>
      <c r="H33" s="42">
        <f>Table132[[#This Row],[New position]]*Table132[[#This Row],[Last_Price]]</f>
        <v>421094.8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151.75</v>
      </c>
      <c r="D34" s="37">
        <v>2704</v>
      </c>
      <c r="E34" s="37">
        <v>2704</v>
      </c>
      <c r="F34" s="36">
        <f>Table132[[#This Row],[New position]]-Table132[[#This Row],[Old position]]</f>
        <v>0</v>
      </c>
      <c r="G34" s="37">
        <f>ROUND(Table132[[#This Row],[Target allocation ($)]]/(IF(G82&gt;0, G68,E68)*C18)*100,3)</f>
        <v>0.13400000000000001</v>
      </c>
      <c r="H34" s="42">
        <f>Table132[[#This Row],[New position]]*Table132[[#This Row],[Last_Price]]</f>
        <v>410332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68</v>
      </c>
      <c r="B35" s="37" t="s">
        <v>14</v>
      </c>
      <c r="C35" s="49">
        <v>107.98</v>
      </c>
      <c r="D35" s="37">
        <v>3280</v>
      </c>
      <c r="E35" s="37">
        <v>3280</v>
      </c>
      <c r="F35" s="36">
        <f>Table132[[#This Row],[New position]]-Table132[[#This Row],[Old position]]</f>
        <v>0</v>
      </c>
      <c r="G35" s="37">
        <f>ROUND(Table132[[#This Row],[Target allocation ($)]]/(IF(G82&gt;0, G68,E68)*C18)*100,3)</f>
        <v>0.11600000000000001</v>
      </c>
      <c r="H35" s="42">
        <f>Table132[[#This Row],[New position]]*Table132[[#This Row],[Last_Price]]</f>
        <v>354174.4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76</v>
      </c>
      <c r="B36" s="37" t="s">
        <v>14</v>
      </c>
      <c r="C36" s="49">
        <v>32.619999999999997</v>
      </c>
      <c r="D36" s="37">
        <v>161453</v>
      </c>
      <c r="E36" s="37">
        <v>161453</v>
      </c>
      <c r="F36" s="36">
        <f>Table132[[#This Row],[New position]]-Table132[[#This Row],[Old position]]</f>
        <v>0</v>
      </c>
      <c r="G36" s="37">
        <f>ROUND(Table132[[#This Row],[Target allocation ($)]]/(IF(G82&gt;0, G68,E68)*C18)*100,3)</f>
        <v>1.7250000000000001</v>
      </c>
      <c r="H36" s="42">
        <f>Table132[[#This Row],[New position]]*Table132[[#This Row],[Last_Price]]</f>
        <v>5266596.8599999994</v>
      </c>
      <c r="I36" s="54"/>
      <c r="L36" s="53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41.9</v>
      </c>
      <c r="D37" s="37">
        <v>501400</v>
      </c>
      <c r="E37" s="37">
        <v>501400</v>
      </c>
      <c r="F37" s="36">
        <f>Table132[[#This Row],[New position]]-Table132[[#This Row],[Old position]]</f>
        <v>0</v>
      </c>
      <c r="G37" s="37">
        <f>ROUND(Table132[[#This Row],[Target allocation ($)]]/(IF(G82&gt;0, G68,E68)*C18)*100,3)</f>
        <v>6.883</v>
      </c>
      <c r="H37" s="42">
        <f>Table132[[#This Row],[New position]]*Table132[[#This Row],[Last_Price]]</f>
        <v>21008660</v>
      </c>
      <c r="I37" s="58"/>
      <c r="L37" s="53"/>
      <c r="M37"/>
      <c r="N37"/>
      <c r="O37"/>
      <c r="P37"/>
      <c r="Q37"/>
      <c r="R37"/>
    </row>
    <row r="38" spans="1:18" x14ac:dyDescent="0.25">
      <c r="A38" s="37" t="s">
        <v>51</v>
      </c>
      <c r="B38" s="37" t="s">
        <v>14</v>
      </c>
      <c r="C38" s="49">
        <v>55.3</v>
      </c>
      <c r="D38" s="37">
        <v>252690</v>
      </c>
      <c r="E38" s="37">
        <v>252690</v>
      </c>
      <c r="F38" s="36">
        <f>Table132[[#This Row],[New position]]-Table132[[#This Row],[Old position]]</f>
        <v>0</v>
      </c>
      <c r="G38" s="37">
        <f>ROUND(Table132[[#This Row],[Target allocation ($)]]/(IF(G82&gt;0, G68,E68)*C18)*100,3)</f>
        <v>4.5780000000000003</v>
      </c>
      <c r="H38" s="42">
        <f>Table132[[#This Row],[New position]]*Table132[[#This Row],[Last_Price]]</f>
        <v>13973757</v>
      </c>
      <c r="I38" s="58"/>
      <c r="L38" s="53"/>
      <c r="M38"/>
      <c r="N38"/>
      <c r="O38"/>
      <c r="P38"/>
      <c r="Q38"/>
      <c r="R38"/>
    </row>
    <row r="39" spans="1:18" x14ac:dyDescent="0.25">
      <c r="A39" s="47" t="s">
        <v>52</v>
      </c>
      <c r="B39" s="47" t="s">
        <v>14</v>
      </c>
      <c r="C39" s="49">
        <v>105.12</v>
      </c>
      <c r="D39" s="37">
        <v>90439</v>
      </c>
      <c r="E39" s="37">
        <v>90439</v>
      </c>
      <c r="F39" s="36">
        <f>Table132[[#This Row],[New position]]-Table132[[#This Row],[Old position]]</f>
        <v>0</v>
      </c>
      <c r="G39" s="37">
        <f>ROUND(Table132[[#This Row],[Target allocation ($)]]/(IF(G82&gt;0, G68,E68)*C18)*100,3)</f>
        <v>3.1150000000000002</v>
      </c>
      <c r="H39" s="42">
        <f>Table132[[#This Row],[New position]]*Table132[[#This Row],[Last_Price]]</f>
        <v>9506947.6799999997</v>
      </c>
      <c r="I39" s="29"/>
      <c r="L39" s="53"/>
      <c r="M39"/>
      <c r="N39"/>
      <c r="O39"/>
      <c r="P39"/>
      <c r="Q39"/>
      <c r="R39"/>
    </row>
    <row r="40" spans="1:18" x14ac:dyDescent="0.25">
      <c r="A40" s="47" t="s">
        <v>70</v>
      </c>
      <c r="B40" s="47" t="s">
        <v>14</v>
      </c>
      <c r="C40" s="49">
        <v>74.069999999999993</v>
      </c>
      <c r="D40" s="37">
        <v>79245</v>
      </c>
      <c r="E40" s="37">
        <v>79245</v>
      </c>
      <c r="F40" s="36">
        <f>Table132[[#This Row],[New position]]-Table132[[#This Row],[Old position]]</f>
        <v>0</v>
      </c>
      <c r="G40" s="37">
        <f>ROUND(Table132[[#This Row],[Target allocation ($)]]/(IF(G82&gt;0, G68,E68)*C18)*100,3)</f>
        <v>1.923</v>
      </c>
      <c r="H40" s="42">
        <f>Table132[[#This Row],[New position]]*Table132[[#This Row],[Last_Price]]</f>
        <v>5869677.1499999994</v>
      </c>
      <c r="I40" s="29"/>
      <c r="L40" s="53"/>
      <c r="M40"/>
      <c r="N40"/>
      <c r="O40"/>
      <c r="P40"/>
      <c r="Q40"/>
      <c r="R40"/>
    </row>
    <row r="41" spans="1:18" x14ac:dyDescent="0.25">
      <c r="A41" s="47">
        <v>600519</v>
      </c>
      <c r="B41" s="47" t="s">
        <v>14</v>
      </c>
      <c r="C41" s="49">
        <v>240.181311018131</v>
      </c>
      <c r="D41" s="37">
        <v>900</v>
      </c>
      <c r="E41" s="37">
        <v>900</v>
      </c>
      <c r="F41" s="36">
        <f>Table132[[#This Row],[New position]]-Table132[[#This Row],[Old position]]</f>
        <v>0</v>
      </c>
      <c r="G41" s="37">
        <f>ROUND(Table132[[#This Row],[Target allocation ($)]]/(IF(G82&gt;0, G68,E68)*C18)*100,3)</f>
        <v>7.0999999999999994E-2</v>
      </c>
      <c r="H41" s="42">
        <f>Table132[[#This Row],[New position]]*Table132[[#This Row],[Last_Price]]</f>
        <v>216163.17991631789</v>
      </c>
      <c r="I41" s="29"/>
      <c r="L41" s="53"/>
      <c r="M41"/>
      <c r="N41"/>
      <c r="O41"/>
      <c r="P41"/>
      <c r="Q41"/>
      <c r="R41"/>
    </row>
    <row r="42" spans="1:18" x14ac:dyDescent="0.25">
      <c r="A42" s="47">
        <v>700</v>
      </c>
      <c r="B42" s="47" t="s">
        <v>14</v>
      </c>
      <c r="C42" s="49">
        <v>37.490396927016597</v>
      </c>
      <c r="D42" s="37">
        <v>12900</v>
      </c>
      <c r="E42" s="37">
        <v>12900</v>
      </c>
      <c r="F42" s="36">
        <f>Table132[[#This Row],[New position]]-Table132[[#This Row],[Old position]]</f>
        <v>0</v>
      </c>
      <c r="G42" s="37">
        <f>ROUND(Table132[[#This Row],[Target allocation ($)]]/(IF(G82&gt;0, G68,E68)*C18)*100,3)</f>
        <v>0.158</v>
      </c>
      <c r="H42" s="42">
        <f>Table132[[#This Row],[New position]]*Table132[[#This Row],[Last_Price]]</f>
        <v>483626.12035851413</v>
      </c>
      <c r="I42" s="58"/>
      <c r="L42" s="53"/>
      <c r="M42"/>
      <c r="N42"/>
      <c r="O42"/>
      <c r="P42"/>
      <c r="Q42"/>
      <c r="R42"/>
    </row>
    <row r="43" spans="1:18" x14ac:dyDescent="0.25">
      <c r="A43" s="47">
        <v>9988</v>
      </c>
      <c r="B43" s="47" t="s">
        <v>14</v>
      </c>
      <c r="C43" s="49">
        <v>9.7119078104993601</v>
      </c>
      <c r="D43" s="37">
        <v>22000</v>
      </c>
      <c r="E43" s="37">
        <v>22000</v>
      </c>
      <c r="F43" s="36">
        <f>Table132[[#This Row],[New position]]-Table132[[#This Row],[Old position]]</f>
        <v>0</v>
      </c>
      <c r="G43" s="37">
        <f>ROUND(Table132[[#This Row],[Target allocation ($)]]/(IF(G82&gt;0, G68,E68)*C18)*100,3)</f>
        <v>7.0000000000000007E-2</v>
      </c>
      <c r="H43" s="42">
        <f>Table132[[#This Row],[New position]]*Table132[[#This Row],[Last_Price]]</f>
        <v>213661.97183098592</v>
      </c>
      <c r="I43" s="58"/>
      <c r="L43" s="53"/>
      <c r="M43"/>
      <c r="N43"/>
      <c r="O43"/>
      <c r="P43"/>
      <c r="Q43"/>
      <c r="R43"/>
    </row>
    <row r="44" spans="1:18" x14ac:dyDescent="0.25">
      <c r="A44" s="47">
        <v>9888</v>
      </c>
      <c r="B44" s="47" t="s">
        <v>14</v>
      </c>
      <c r="C44" s="49">
        <v>14.711907810499399</v>
      </c>
      <c r="D44" s="37">
        <v>15600</v>
      </c>
      <c r="E44" s="37">
        <v>15600</v>
      </c>
      <c r="F44" s="36">
        <f>Table132[[#This Row],[New position]]-Table132[[#This Row],[Old position]]</f>
        <v>0</v>
      </c>
      <c r="G44" s="37">
        <f>ROUND(Table132[[#This Row],[Target allocation ($)]]/(IF(G82&gt;0, G68,E68)*C18)*100,3)</f>
        <v>7.4999999999999997E-2</v>
      </c>
      <c r="H44" s="42">
        <f>Table132[[#This Row],[New position]]*Table132[[#This Row],[Last_Price]]</f>
        <v>229505.76184379062</v>
      </c>
      <c r="I44" s="58"/>
      <c r="L44" s="53"/>
      <c r="M44"/>
      <c r="N44"/>
      <c r="O44"/>
      <c r="P44"/>
      <c r="Q44"/>
      <c r="R44"/>
    </row>
    <row r="45" spans="1:18" x14ac:dyDescent="0.25">
      <c r="A45" s="47" t="s">
        <v>87</v>
      </c>
      <c r="B45" s="47" t="s">
        <v>14</v>
      </c>
      <c r="C45" s="49">
        <v>64.08</v>
      </c>
      <c r="D45" s="37">
        <v>17878</v>
      </c>
      <c r="E45" s="37">
        <v>17878</v>
      </c>
      <c r="F45" s="36">
        <f>Table132[[#This Row],[New position]]-Table132[[#This Row],[Old position]]</f>
        <v>0</v>
      </c>
      <c r="G45" s="37">
        <f>ROUND(Table132[[#This Row],[Target allocation ($)]]/(IF(G82&gt;0, G68,E68)*C18)*100,3)</f>
        <v>0.375</v>
      </c>
      <c r="H45" s="42">
        <f>Table132[[#This Row],[New position]]*Table132[[#This Row],[Last_Price]]</f>
        <v>1145622.24</v>
      </c>
      <c r="I45" s="29"/>
      <c r="L45" s="53"/>
      <c r="M45"/>
      <c r="N45"/>
      <c r="O45"/>
      <c r="P45"/>
      <c r="Q45"/>
      <c r="R45"/>
    </row>
    <row r="46" spans="1:18" x14ac:dyDescent="0.25">
      <c r="A46" s="47" t="s">
        <v>86</v>
      </c>
      <c r="B46" s="47" t="s">
        <v>14</v>
      </c>
      <c r="C46" s="49">
        <v>105.06</v>
      </c>
      <c r="D46" s="37">
        <v>2750</v>
      </c>
      <c r="E46" s="37">
        <v>2750</v>
      </c>
      <c r="F46" s="36">
        <f>Table132[[#This Row],[New position]]-Table132[[#This Row],[Old position]]</f>
        <v>0</v>
      </c>
      <c r="G46" s="37">
        <f>ROUND(Table132[[#This Row],[Target allocation ($)]]/(IF(G82&gt;0, G68,E68)*C18)*100,3)</f>
        <v>9.5000000000000001E-2</v>
      </c>
      <c r="H46" s="42">
        <f>Table132[[#This Row],[New position]]*Table132[[#This Row],[Last_Price]]</f>
        <v>288915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88</v>
      </c>
      <c r="B47" s="47" t="s">
        <v>14</v>
      </c>
      <c r="C47" s="49">
        <v>23.21</v>
      </c>
      <c r="D47" s="37">
        <v>5900</v>
      </c>
      <c r="E47" s="37">
        <v>13151</v>
      </c>
      <c r="F47" s="36">
        <f>Table132[[#This Row],[New position]]-Table132[[#This Row],[Old position]]</f>
        <v>7251</v>
      </c>
      <c r="G47" s="37">
        <f>ROUND(Table132[[#This Row],[Target allocation ($)]]/(IF(G82&gt;0, G68,E68)*C18)*100,3)</f>
        <v>0.1</v>
      </c>
      <c r="H47" s="42">
        <f>Table132[[#This Row],[New position]]*Table132[[#This Row],[Last_Price]]</f>
        <v>305234.71000000002</v>
      </c>
      <c r="I47" s="64"/>
      <c r="L47" s="53"/>
      <c r="M47"/>
      <c r="N47"/>
      <c r="O47"/>
      <c r="P47"/>
      <c r="Q47"/>
      <c r="R47"/>
    </row>
    <row r="48" spans="1:18" x14ac:dyDescent="0.25">
      <c r="A48" s="47" t="s">
        <v>11</v>
      </c>
      <c r="B48" s="47" t="s">
        <v>14</v>
      </c>
      <c r="C48" s="49">
        <v>412.7</v>
      </c>
      <c r="D48" s="37">
        <v>182668</v>
      </c>
      <c r="E48" s="37">
        <v>182668</v>
      </c>
      <c r="F48" s="36">
        <f>Table132[[#This Row],[New position]]-Table132[[#This Row],[Old position]]</f>
        <v>0</v>
      </c>
      <c r="G48" s="37">
        <f>ROUND(Table132[[#This Row],[Target allocation ($)]]/(IF(G82&gt;0, G68,E68)*C18)*100,3)</f>
        <v>24.696999999999999</v>
      </c>
      <c r="H48" s="42">
        <f>Table132[[#This Row],[New position]]*Table132[[#This Row],[Last_Price]]</f>
        <v>75387083.599999994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79</v>
      </c>
      <c r="B49" s="47" t="s">
        <v>14</v>
      </c>
      <c r="C49" s="49">
        <v>51.94</v>
      </c>
      <c r="D49" s="37">
        <v>68709</v>
      </c>
      <c r="E49" s="37">
        <v>68709</v>
      </c>
      <c r="F49" s="36">
        <f>Table132[[#This Row],[New position]]-Table132[[#This Row],[Old position]]</f>
        <v>0</v>
      </c>
      <c r="G49" s="37">
        <f>ROUND(Table132[[#This Row],[Target allocation ($)]]/(IF(G82&gt;0, G68,E68)*C18)*100,3)</f>
        <v>1.169</v>
      </c>
      <c r="H49" s="42">
        <f>Table132[[#This Row],[New position]]*Table132[[#This Row],[Last_Price]]</f>
        <v>3568745.46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80</v>
      </c>
      <c r="B50" s="47" t="s">
        <v>14</v>
      </c>
      <c r="C50" s="49">
        <v>102.23</v>
      </c>
      <c r="D50" s="37">
        <v>25521</v>
      </c>
      <c r="E50" s="37">
        <v>25521</v>
      </c>
      <c r="F50" s="36">
        <f>Table132[[#This Row],[New position]]-Table132[[#This Row],[Old position]]</f>
        <v>0</v>
      </c>
      <c r="G50" s="37">
        <f>ROUND(Table132[[#This Row],[Target allocation ($)]]/(IF(G82&gt;0, G68,E68)*C18)*100,3)</f>
        <v>0.85499999999999998</v>
      </c>
      <c r="H50" s="42">
        <f>Table132[[#This Row],[New position]]*Table132[[#This Row],[Last_Price]]</f>
        <v>2609011.83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34</v>
      </c>
      <c r="B51" s="47" t="s">
        <v>14</v>
      </c>
      <c r="C51" s="49">
        <v>48.57</v>
      </c>
      <c r="D51" s="37">
        <v>27349</v>
      </c>
      <c r="E51" s="37">
        <v>13652</v>
      </c>
      <c r="F51" s="36">
        <f>Table132[[#This Row],[New position]]-Table132[[#This Row],[Old position]]</f>
        <v>-13697</v>
      </c>
      <c r="G51" s="37">
        <f>ROUND(Table132[[#This Row],[Target allocation ($)]]/(IF(G82&gt;0, G68,E68)*C18)*100,3)</f>
        <v>0.217</v>
      </c>
      <c r="H51" s="42">
        <f>Table132[[#This Row],[New position]]*Table132[[#This Row],[Last_Price]]</f>
        <v>663077.64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89</v>
      </c>
      <c r="B52" s="47" t="s">
        <v>14</v>
      </c>
      <c r="C52" s="49">
        <v>21</v>
      </c>
      <c r="D52" s="37">
        <v>0</v>
      </c>
      <c r="E52" s="37">
        <v>31268</v>
      </c>
      <c r="F52" s="36">
        <f>Table132[[#This Row],[New position]]-Table132[[#This Row],[Old position]]</f>
        <v>31268</v>
      </c>
      <c r="G52" s="37">
        <f>ROUND(Table132[[#This Row],[Target allocation ($)]]/(IF(G82&gt;0, G68,E68)*C18)*100,3)</f>
        <v>0.215</v>
      </c>
      <c r="H52" s="42">
        <f>Table132[[#This Row],[New position]]*Table132[[#This Row],[Last_Price]]</f>
        <v>656628</v>
      </c>
      <c r="I52" s="29" t="s">
        <v>91</v>
      </c>
      <c r="L52" s="53"/>
      <c r="M52"/>
      <c r="N52"/>
      <c r="O52"/>
      <c r="P52"/>
      <c r="Q52"/>
      <c r="R52"/>
    </row>
    <row r="53" spans="1:18" x14ac:dyDescent="0.25">
      <c r="A53" s="47" t="s">
        <v>36</v>
      </c>
      <c r="B53" s="47" t="s">
        <v>14</v>
      </c>
      <c r="C53" s="49">
        <v>81.64</v>
      </c>
      <c r="D53" s="37">
        <v>127560</v>
      </c>
      <c r="E53" s="37">
        <v>127560</v>
      </c>
      <c r="F53" s="36">
        <f>Table132[[#This Row],[New position]]-Table132[[#This Row],[Old position]]</f>
        <v>0</v>
      </c>
      <c r="G53" s="37">
        <f>ROUND(Table132[[#This Row],[Target allocation ($)]]/(IF(G82&gt;0, G68,E68)*C18)*100,3)</f>
        <v>3.4119999999999999</v>
      </c>
      <c r="H53" s="42">
        <f>Table132[[#This Row],[New position]]*Table132[[#This Row],[Last_Price]]</f>
        <v>10413998.4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37</v>
      </c>
      <c r="B54" s="47" t="s">
        <v>14</v>
      </c>
      <c r="C54" s="49">
        <v>72.47</v>
      </c>
      <c r="D54" s="37">
        <v>145699</v>
      </c>
      <c r="E54" s="37">
        <v>145699</v>
      </c>
      <c r="F54" s="36">
        <f>Table132[[#This Row],[New position]]-Table132[[#This Row],[Old position]]</f>
        <v>0</v>
      </c>
      <c r="G54" s="37">
        <f>ROUND(Table132[[#This Row],[Target allocation ($)]]/(IF(G82&gt;0, G68,E68)*C18)*100,3)</f>
        <v>3.4590000000000001</v>
      </c>
      <c r="H54" s="42">
        <f>Table132[[#This Row],[New position]]*Table132[[#This Row],[Last_Price]]</f>
        <v>10558806.529999999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47</v>
      </c>
      <c r="B55" s="47" t="s">
        <v>14</v>
      </c>
      <c r="C55" s="49">
        <v>100.06</v>
      </c>
      <c r="D55" s="37">
        <v>104876</v>
      </c>
      <c r="E55" s="37">
        <v>104876</v>
      </c>
      <c r="F55" s="36">
        <f>Table132[[#This Row],[New position]]-Table132[[#This Row],[Old position]]</f>
        <v>0</v>
      </c>
      <c r="G55" s="37">
        <f>ROUND(Table132[[#This Row],[Target allocation ($)]]/(IF(G82&gt;0, G68,E68)*C18)*100,3)</f>
        <v>3.4380000000000002</v>
      </c>
      <c r="H55" s="42">
        <f>Table132[[#This Row],[New position]]*Table132[[#This Row],[Last_Price]]</f>
        <v>10493892.560000001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48</v>
      </c>
      <c r="B56" s="47" t="s">
        <v>14</v>
      </c>
      <c r="C56" s="49">
        <v>66.77</v>
      </c>
      <c r="D56" s="37">
        <v>281513</v>
      </c>
      <c r="E56" s="37">
        <v>281513</v>
      </c>
      <c r="F56" s="36">
        <f>Table132[[#This Row],[New position]]-Table132[[#This Row],[Old position]]</f>
        <v>0</v>
      </c>
      <c r="G56" s="37">
        <f>ROUND(Table132[[#This Row],[Target allocation ($)]]/(IF(G82&gt;0, G68,E68)*C18)*100,3)</f>
        <v>6.1580000000000004</v>
      </c>
      <c r="H56" s="42">
        <f>Table132[[#This Row],[New position]]*Table132[[#This Row],[Last_Price]]</f>
        <v>18796623.009999998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44</v>
      </c>
      <c r="B57" s="47" t="s">
        <v>14</v>
      </c>
      <c r="C57" s="49">
        <v>294.55</v>
      </c>
      <c r="D57" s="37">
        <v>34544</v>
      </c>
      <c r="E57" s="37">
        <v>34544</v>
      </c>
      <c r="F57" s="36">
        <f>Table132[[#This Row],[New position]]-Table132[[#This Row],[Old position]]</f>
        <v>0</v>
      </c>
      <c r="G57" s="37">
        <f>ROUND(Table132[[#This Row],[Target allocation ($)]]/(IF(G82&gt;0, G68,E68)*C18)*100,3)</f>
        <v>3.3330000000000002</v>
      </c>
      <c r="H57" s="42">
        <f>Table132[[#This Row],[New position]]*Table132[[#This Row],[Last_Price]]</f>
        <v>10174935.200000001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45</v>
      </c>
      <c r="B58" s="47" t="s">
        <v>14</v>
      </c>
      <c r="C58" s="49">
        <v>58.75</v>
      </c>
      <c r="D58" s="37">
        <v>171308</v>
      </c>
      <c r="E58" s="37">
        <v>171308</v>
      </c>
      <c r="F58" s="36">
        <f>Table132[[#This Row],[New position]]-Table132[[#This Row],[Old position]]</f>
        <v>0</v>
      </c>
      <c r="G58" s="37">
        <f>ROUND(Table132[[#This Row],[Target allocation ($)]]/(IF(G82&gt;0, G68,E68)*C18)*100,3)</f>
        <v>3.2970000000000002</v>
      </c>
      <c r="H58" s="42">
        <f>Table132[[#This Row],[New position]]*Table132[[#This Row],[Last_Price]]</f>
        <v>10064345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62</v>
      </c>
      <c r="B59" s="47" t="s">
        <v>14</v>
      </c>
      <c r="C59" s="49">
        <v>450.54</v>
      </c>
      <c r="D59" s="37">
        <v>13160</v>
      </c>
      <c r="E59" s="37">
        <v>10520</v>
      </c>
      <c r="F59" s="36">
        <f>Table132[[#This Row],[New position]]-Table132[[#This Row],[Old position]]</f>
        <v>-2640</v>
      </c>
      <c r="G59" s="37">
        <f>ROUND(Table132[[#This Row],[Target allocation ($)]]/(IF(G82&gt;0, G68,E68)*C18)*100,3)</f>
        <v>1.5529999999999999</v>
      </c>
      <c r="H59" s="42">
        <f>Table132[[#This Row],[New position]]*Table132[[#This Row],[Last_Price]]</f>
        <v>4739680.8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90</v>
      </c>
      <c r="B60" s="47" t="s">
        <v>14</v>
      </c>
      <c r="C60" s="49">
        <v>61.12</v>
      </c>
      <c r="D60" s="37">
        <v>0</v>
      </c>
      <c r="E60" s="37">
        <v>19097</v>
      </c>
      <c r="F60" s="36">
        <f>Table132[[#This Row],[New position]]-Table132[[#This Row],[Old position]]</f>
        <v>19097</v>
      </c>
      <c r="G60" s="37">
        <f>ROUND(Table132[[#This Row],[Target allocation ($)]]/(IF(G82&gt;0, G68,E68)*C18)*100,3)</f>
        <v>0.38200000000000001</v>
      </c>
      <c r="H60" s="42">
        <f>Table132[[#This Row],[New position]]*Table132[[#This Row],[Last_Price]]</f>
        <v>1167208.6399999999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63</v>
      </c>
      <c r="B61" s="47" t="s">
        <v>14</v>
      </c>
      <c r="C61" s="49">
        <v>111.33</v>
      </c>
      <c r="D61" s="37">
        <v>93168</v>
      </c>
      <c r="E61" s="37">
        <v>93168</v>
      </c>
      <c r="F61" s="36">
        <f>Table132[[#This Row],[New position]]-Table132[[#This Row],[Old position]]</f>
        <v>0</v>
      </c>
      <c r="G61" s="37">
        <f>ROUND(Table132[[#This Row],[Target allocation ($)]]/(IF(G82&gt;0, G68,E68)*C18)*100,3)</f>
        <v>3.3980000000000001</v>
      </c>
      <c r="H61" s="42">
        <f>Table132[[#This Row],[New position]]*Table132[[#This Row],[Last_Price]]</f>
        <v>10372393.439999999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78</v>
      </c>
      <c r="B62" s="47" t="s">
        <v>14</v>
      </c>
      <c r="C62" s="49">
        <v>36.6</v>
      </c>
      <c r="D62" s="37">
        <v>229000</v>
      </c>
      <c r="E62" s="37">
        <v>229000</v>
      </c>
      <c r="F62" s="36">
        <f>Table132[[#This Row],[New position]]-Table132[[#This Row],[Old position]]</f>
        <v>0</v>
      </c>
      <c r="G62" s="37">
        <f>ROUND(Table132[[#This Row],[Target allocation ($)]]/(IF(G82&gt;0, G68,E68)*C18)*100,3)</f>
        <v>2.746</v>
      </c>
      <c r="H62" s="42">
        <f>Table132[[#This Row],[New position]]*Table132[[#This Row],[Last_Price]]</f>
        <v>8381400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64</v>
      </c>
      <c r="B63" s="47" t="s">
        <v>14</v>
      </c>
      <c r="C63" s="49">
        <v>39.840000000000003</v>
      </c>
      <c r="D63" s="37">
        <v>7780</v>
      </c>
      <c r="E63" s="37">
        <v>7780</v>
      </c>
      <c r="F63" s="36">
        <f>Table132[[#This Row],[New position]]-Table132[[#This Row],[Old position]]</f>
        <v>0</v>
      </c>
      <c r="G63" s="37">
        <f>ROUND(Table132[[#This Row],[Target allocation ($)]]/(IF(G82&gt;0, G68,E68)*C18)*100,3)</f>
        <v>0.10199999999999999</v>
      </c>
      <c r="H63" s="42">
        <f>Table132[[#This Row],[New position]]*Table132[[#This Row],[Last_Price]]</f>
        <v>309955.20000000001</v>
      </c>
      <c r="I63" s="29"/>
      <c r="L63" s="53"/>
      <c r="M63"/>
      <c r="N63"/>
      <c r="O63"/>
      <c r="P63"/>
      <c r="Q63"/>
      <c r="R63"/>
    </row>
    <row r="64" spans="1:18" x14ac:dyDescent="0.25">
      <c r="A64" s="47" t="s">
        <v>65</v>
      </c>
      <c r="B64" s="47" t="s">
        <v>14</v>
      </c>
      <c r="C64" s="49">
        <v>187.38</v>
      </c>
      <c r="D64" s="37">
        <v>2624</v>
      </c>
      <c r="E64" s="37">
        <v>2624</v>
      </c>
      <c r="F64" s="36">
        <f>Table132[[#This Row],[New position]]-Table132[[#This Row],[Old position]]</f>
        <v>0</v>
      </c>
      <c r="G64" s="37">
        <f>ROUND(Table132[[#This Row],[Target allocation ($)]]/(IF(G82&gt;0, G68,E68)*C18)*100,3)</f>
        <v>0.161</v>
      </c>
      <c r="H64" s="42">
        <f>Table132[[#This Row],[New position]]*Table132[[#This Row],[Last_Price]]</f>
        <v>491685.12</v>
      </c>
      <c r="I64" s="58"/>
      <c r="L64" s="53"/>
      <c r="M64"/>
      <c r="N64"/>
      <c r="O64"/>
      <c r="P64"/>
      <c r="Q64"/>
      <c r="R64"/>
    </row>
    <row r="65" spans="1:18" x14ac:dyDescent="0.25">
      <c r="A65" s="47" t="s">
        <v>67</v>
      </c>
      <c r="B65" s="47" t="s">
        <v>14</v>
      </c>
      <c r="C65" s="49">
        <v>192.42</v>
      </c>
      <c r="D65" s="37">
        <v>54286</v>
      </c>
      <c r="E65" s="37">
        <v>54286</v>
      </c>
      <c r="F65" s="36">
        <f>Table132[[#This Row],[New position]]-Table132[[#This Row],[Old position]]</f>
        <v>0</v>
      </c>
      <c r="G65" s="37">
        <f>ROUND(Table132[[#This Row],[Target allocation ($)]]/(IF(G82&gt;0, G68,E68)*C18)*100,3)</f>
        <v>3.4220000000000002</v>
      </c>
      <c r="H65" s="42">
        <f>Table132[[#This Row],[New position]]*Table132[[#This Row],[Last_Price]]</f>
        <v>10445712.119999999</v>
      </c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4"/>
      <c r="G66" s="37"/>
      <c r="H66" s="49"/>
      <c r="I66" s="51"/>
      <c r="L66"/>
      <c r="M66"/>
      <c r="N66"/>
      <c r="O66"/>
      <c r="P66"/>
      <c r="Q66"/>
      <c r="R66"/>
    </row>
    <row r="67" spans="1:18" x14ac:dyDescent="0.25">
      <c r="A67" s="47"/>
      <c r="B67" s="47"/>
      <c r="C67" s="48"/>
      <c r="D67" s="38"/>
      <c r="E67" s="59" t="s">
        <v>49</v>
      </c>
      <c r="F67" s="34"/>
      <c r="G67" s="60" t="s">
        <v>50</v>
      </c>
      <c r="H67" s="49"/>
      <c r="I67" s="51"/>
      <c r="L67"/>
      <c r="M67"/>
      <c r="N67"/>
      <c r="O67"/>
      <c r="P67"/>
      <c r="Q67"/>
      <c r="R67"/>
    </row>
    <row r="68" spans="1:18" ht="30" x14ac:dyDescent="0.25">
      <c r="A68" s="47" t="s">
        <v>32</v>
      </c>
      <c r="B68" s="47"/>
      <c r="C68" s="48"/>
      <c r="D68" s="38"/>
      <c r="E68" s="37">
        <f xml:space="preserve"> IF(G82&gt;0, (C19+ABS(G82*G68))/C15, C19/C15)</f>
        <v>5.7025751754995762</v>
      </c>
      <c r="F68" s="34"/>
      <c r="G68" s="37">
        <v>5.5</v>
      </c>
      <c r="H68" s="49"/>
      <c r="I68" s="51"/>
      <c r="L68"/>
      <c r="M68"/>
      <c r="N68"/>
      <c r="O68"/>
      <c r="P68"/>
      <c r="Q68"/>
      <c r="R68"/>
    </row>
    <row r="69" spans="1:18" ht="15" customHeight="1" x14ac:dyDescent="0.25">
      <c r="A69" s="37" t="s">
        <v>38</v>
      </c>
      <c r="B69" s="37"/>
      <c r="C69" s="37"/>
      <c r="D69" s="50" t="str">
        <f>Table132[[#This Row],[Symbol]]</f>
        <v>SingleStocks</v>
      </c>
      <c r="E69" s="37">
        <f>ROUND(SUM(G22:G35)/100, 3)</f>
        <v>1.7999999999999999E-2</v>
      </c>
      <c r="F69" s="50" t="str">
        <f>Table132[[#This Row],[Symbol]]</f>
        <v>SingleStocks</v>
      </c>
      <c r="G69" s="37">
        <f>SUM(H22:H35)/(G68*C18)</f>
        <v>1.8165043891215166E-2</v>
      </c>
      <c r="H69" s="37"/>
      <c r="I69" s="30"/>
      <c r="L69"/>
      <c r="M69"/>
      <c r="N69"/>
      <c r="O69"/>
      <c r="P69"/>
      <c r="Q69"/>
      <c r="R69"/>
    </row>
    <row r="70" spans="1:18" ht="15" customHeight="1" x14ac:dyDescent="0.25">
      <c r="A70" s="47" t="s">
        <v>82</v>
      </c>
      <c r="B70" s="47"/>
      <c r="C70" s="48"/>
      <c r="D70" s="50" t="str">
        <f>Table132[[#This Row],[Symbol]]</f>
        <v>Semiconductor</v>
      </c>
      <c r="E70" s="37">
        <f>ROUND(SUM(G36)/100, 3)</f>
        <v>1.7000000000000001E-2</v>
      </c>
      <c r="F70" s="50" t="str">
        <f>Table132[[#This Row],[Symbol]]</f>
        <v>Semiconductor</v>
      </c>
      <c r="G70" s="37">
        <f>SUM(H36)/(G68*C18)</f>
        <v>1.7253834057635135E-2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83</v>
      </c>
      <c r="B71" s="47"/>
      <c r="C71" s="48"/>
      <c r="D71" s="50" t="str">
        <f>Table132[[#This Row],[Symbol]]</f>
        <v>Small Cap</v>
      </c>
      <c r="E71" s="56">
        <f>ROUND(SUM(G37)/100, 3)</f>
        <v>6.9000000000000006E-2</v>
      </c>
      <c r="F71" s="50" t="str">
        <f>Table132[[#This Row],[Symbol]]</f>
        <v>Small Cap</v>
      </c>
      <c r="G71" s="56">
        <f>SUM(H37)/(G68*C18)</f>
        <v>6.8826216064936663E-2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71</v>
      </c>
      <c r="B72" s="47"/>
      <c r="C72" s="48"/>
      <c r="D72" s="50" t="str">
        <f>Table132[[#This Row],[Symbol]]</f>
        <v>S&amp;P</v>
      </c>
      <c r="E72" s="37">
        <f>ROUND(SUM(G38:G39)/100, 3)</f>
        <v>7.6999999999999999E-2</v>
      </c>
      <c r="F72" s="50" t="str">
        <f>Table132[[#This Row],[Symbol]]</f>
        <v>S&amp;P</v>
      </c>
      <c r="G72" s="37">
        <f>SUM(H38:H39)/(G68*C18)</f>
        <v>7.692485164035448E-2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72</v>
      </c>
      <c r="B73" s="47"/>
      <c r="C73" s="48"/>
      <c r="D73" s="50" t="str">
        <f>Table132[[#This Row],[Symbol]]</f>
        <v>Dow Jones</v>
      </c>
      <c r="E73" s="37">
        <f>ROUND(SUM(G40)/100, 3)</f>
        <v>1.9E-2</v>
      </c>
      <c r="F73" s="50" t="str">
        <f>Table132[[#This Row],[Symbol]]</f>
        <v>Dow Jones</v>
      </c>
      <c r="G73" s="37">
        <f>SUM(H40)/(G68*C18)</f>
        <v>1.9229578076722723E-2</v>
      </c>
      <c r="H73" s="49"/>
      <c r="I73" s="57"/>
      <c r="L73"/>
      <c r="M73"/>
      <c r="N73"/>
      <c r="O73"/>
      <c r="P73"/>
      <c r="Q73"/>
      <c r="R73"/>
    </row>
    <row r="74" spans="1:18" ht="14.25" customHeight="1" x14ac:dyDescent="0.25">
      <c r="A74" s="47" t="s">
        <v>81</v>
      </c>
      <c r="B74" s="47"/>
      <c r="C74" s="48"/>
      <c r="D74" s="50" t="str">
        <f>Table132[[#This Row],[Symbol]]</f>
        <v>Int Stocks</v>
      </c>
      <c r="E74" s="37">
        <f>ROUND(SUM(G41:G46)/100, 3)</f>
        <v>8.0000000000000002E-3</v>
      </c>
      <c r="F74" s="50" t="str">
        <f>Table132[[#This Row],[Symbol]]</f>
        <v>Int Stocks</v>
      </c>
      <c r="G74" s="37">
        <f>SUM(H41:H46)/(G68*C18)</f>
        <v>8.444097710420026E-3</v>
      </c>
      <c r="H74" s="49"/>
      <c r="I74" s="57"/>
      <c r="L74"/>
      <c r="M74"/>
      <c r="N74"/>
      <c r="O74"/>
      <c r="P74"/>
      <c r="Q74"/>
      <c r="R74"/>
    </row>
    <row r="75" spans="1:18" ht="15.75" customHeight="1" x14ac:dyDescent="0.25">
      <c r="A75" s="47" t="s">
        <v>11</v>
      </c>
      <c r="B75" s="47"/>
      <c r="C75" s="48"/>
      <c r="D75" s="50" t="str">
        <f>Table132[[#This Row],[Symbol]]</f>
        <v>QQQ</v>
      </c>
      <c r="E75" s="56">
        <f>ROUND(SUM(G48:G49)/100, 3)</f>
        <v>0.25900000000000001</v>
      </c>
      <c r="F75" s="50" t="str">
        <f>Table132[[#This Row],[Symbol]]</f>
        <v>QQQ</v>
      </c>
      <c r="G75" s="56">
        <f>SUM(H48:H49)/(G68*C18)</f>
        <v>0.25866623337565386</v>
      </c>
      <c r="H75" s="49"/>
      <c r="I75" s="30"/>
      <c r="L75"/>
      <c r="M75"/>
      <c r="N75"/>
      <c r="O75"/>
      <c r="P75"/>
      <c r="Q75"/>
      <c r="R75"/>
    </row>
    <row r="76" spans="1:18" ht="15.75" customHeight="1" x14ac:dyDescent="0.25">
      <c r="A76" s="63" t="s">
        <v>84</v>
      </c>
      <c r="B76" s="47"/>
      <c r="C76" s="48"/>
      <c r="D76" s="50" t="str">
        <f>Table132[[#This Row],[Symbol]]</f>
        <v>Regional Bank</v>
      </c>
      <c r="E76" s="56">
        <f>ROUND(SUM(G50)/100, 3)</f>
        <v>8.9999999999999993E-3</v>
      </c>
      <c r="F76" s="50" t="str">
        <f>Table132[[#This Row],[Symbol]]</f>
        <v>Regional Bank</v>
      </c>
      <c r="G76" s="56">
        <f>SUM(H50)/(G68*C18)</f>
        <v>8.5473519932997063E-3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37" t="s">
        <v>27</v>
      </c>
      <c r="B77" s="47"/>
      <c r="C77" s="48"/>
      <c r="D77" s="50" t="str">
        <f>Table132[[#This Row],[Symbol]]</f>
        <v>Bonds</v>
      </c>
      <c r="E77" s="37">
        <f>ROUND(SUM(G52:G60)/100, 3)</f>
        <v>0.252</v>
      </c>
      <c r="F77" s="50" t="str">
        <f>Table132[[#This Row],[Symbol]]</f>
        <v>Bonds</v>
      </c>
      <c r="G77" s="37">
        <f>SUM(H52:H60)/(G68*C18)</f>
        <v>0.2524753743641705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47" t="s">
        <v>40</v>
      </c>
      <c r="B78" s="37"/>
      <c r="C78" s="37"/>
      <c r="D78" s="50" t="str">
        <f>Table132[[#This Row],[Symbol]]</f>
        <v>Gold</v>
      </c>
      <c r="E78" s="37">
        <f>ROUND(SUM(G63)/100,3)</f>
        <v>1E-3</v>
      </c>
      <c r="F78" s="50" t="str">
        <f>Table132[[#This Row],[Symbol]]</f>
        <v>Gold</v>
      </c>
      <c r="G78" s="37">
        <f>SUM(H63)/(G68*C18)</f>
        <v>1.0154404691042006E-3</v>
      </c>
      <c r="H78" s="37"/>
      <c r="I78" s="31"/>
      <c r="L78"/>
      <c r="M78"/>
      <c r="N78"/>
      <c r="O78"/>
      <c r="P78"/>
      <c r="Q78"/>
      <c r="R78"/>
    </row>
    <row r="79" spans="1:18" ht="15" customHeight="1" x14ac:dyDescent="0.25">
      <c r="A79" s="37" t="s">
        <v>28</v>
      </c>
      <c r="B79" s="37"/>
      <c r="C79" s="37"/>
      <c r="D79" s="50" t="str">
        <f>Table132[[#This Row],[Symbol]]</f>
        <v>Commodities</v>
      </c>
      <c r="E79" s="37">
        <f>ROUND(SUM(G51)/100,3)</f>
        <v>2E-3</v>
      </c>
      <c r="F79" s="50" t="str">
        <f>Table132[[#This Row],[Symbol]]</f>
        <v>Commodities</v>
      </c>
      <c r="G79" s="37">
        <f>SUM(H51)/(G68*C18)</f>
        <v>2.1723006092948475E-3</v>
      </c>
      <c r="H79" s="37"/>
      <c r="I79" s="32"/>
      <c r="L79"/>
      <c r="M79"/>
      <c r="N79"/>
      <c r="O79"/>
      <c r="P79"/>
      <c r="Q79"/>
      <c r="R79"/>
    </row>
    <row r="80" spans="1:18" ht="14.25" customHeight="1" x14ac:dyDescent="0.25">
      <c r="A80" s="47" t="s">
        <v>39</v>
      </c>
      <c r="B80" s="47"/>
      <c r="C80" s="48"/>
      <c r="D80" s="50" t="str">
        <f>Table132[[#This Row],[Symbol]]</f>
        <v>Crypto</v>
      </c>
      <c r="E80" s="56">
        <f>ROUND(SUM(G61:G62)/100,3)</f>
        <v>6.0999999999999999E-2</v>
      </c>
      <c r="F80" s="50" t="str">
        <f>Table132[[#This Row],[Symbol]]</f>
        <v>Crypto</v>
      </c>
      <c r="G80" s="56">
        <f>SUM(H61:H62)/(G68*C18)</f>
        <v>6.1439075092777531E-2</v>
      </c>
      <c r="H80" s="49"/>
      <c r="I80" s="55"/>
      <c r="L80"/>
      <c r="M80"/>
      <c r="N80"/>
      <c r="O80"/>
      <c r="P80"/>
      <c r="Q80"/>
      <c r="R80"/>
    </row>
    <row r="81" spans="1:18" ht="14.25" customHeight="1" x14ac:dyDescent="0.25">
      <c r="A81" s="37" t="s">
        <v>23</v>
      </c>
      <c r="B81" s="37"/>
      <c r="C81" s="37"/>
      <c r="D81" s="50" t="str">
        <f>Table132[[#This Row],[Symbol]]</f>
        <v>Cash</v>
      </c>
      <c r="E81" s="37">
        <f>1-SUM(E69:E80)</f>
        <v>0.20799999999999996</v>
      </c>
      <c r="F81" s="50" t="str">
        <f>Table132[[#This Row],[Symbol]]</f>
        <v>Cash</v>
      </c>
      <c r="G81" s="37">
        <f>1-SUM(G69:G80)</f>
        <v>0.20684060265441506</v>
      </c>
      <c r="H81" s="37"/>
      <c r="I81" s="30"/>
      <c r="L81"/>
      <c r="M81"/>
      <c r="N81"/>
      <c r="O81"/>
      <c r="P81"/>
      <c r="Q81"/>
      <c r="R81"/>
    </row>
    <row r="82" spans="1:18" x14ac:dyDescent="0.25">
      <c r="A82" s="27" t="s">
        <v>29</v>
      </c>
      <c r="B82" s="27"/>
      <c r="C82" s="35"/>
      <c r="D82" s="34"/>
      <c r="E82" s="27">
        <f>C18*E81</f>
        <v>11543701.935999999</v>
      </c>
      <c r="F82" s="34"/>
      <c r="G82" s="37">
        <f>C18*G81</f>
        <v>11479357.044736432</v>
      </c>
      <c r="H82" s="42"/>
      <c r="I82" s="33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27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1"/>
      <c r="B86" s="5" t="s">
        <v>21</v>
      </c>
      <c r="D86" s="1"/>
      <c r="E86" s="5" t="s">
        <v>20</v>
      </c>
      <c r="F86" s="1"/>
      <c r="G86" s="5"/>
      <c r="H86" s="43" t="s">
        <v>2</v>
      </c>
      <c r="I86" s="4"/>
      <c r="L86"/>
      <c r="M86"/>
      <c r="N86"/>
      <c r="O86"/>
      <c r="P86"/>
      <c r="Q86"/>
      <c r="R86"/>
    </row>
    <row r="87" spans="1:18" x14ac:dyDescent="0.25">
      <c r="B87" s="5" t="s">
        <v>24</v>
      </c>
      <c r="D87" s="1"/>
      <c r="E87" s="5" t="s">
        <v>24</v>
      </c>
      <c r="F87" s="1"/>
      <c r="G87" s="5"/>
      <c r="H87" s="43" t="s">
        <v>3</v>
      </c>
      <c r="L87"/>
      <c r="M87"/>
      <c r="N87"/>
      <c r="O87"/>
      <c r="P87"/>
      <c r="Q87"/>
      <c r="R87"/>
    </row>
    <row r="88" spans="1:18" x14ac:dyDescent="0.25">
      <c r="B88" s="3"/>
      <c r="C88"/>
      <c r="D88" s="1"/>
      <c r="E88" s="3"/>
      <c r="F88" s="20"/>
      <c r="G88" s="3"/>
      <c r="H88" s="44"/>
      <c r="L88"/>
      <c r="M88"/>
      <c r="N88"/>
      <c r="O88"/>
      <c r="P88"/>
      <c r="Q88"/>
      <c r="R88"/>
    </row>
    <row r="89" spans="1:18" x14ac:dyDescent="0.25">
      <c r="C89"/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2024-01-05T07:51:59Z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