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417" documentId="14_{A48F4B07-3EF3-43E5-91B2-4CA340E6013A}" xr6:coauthVersionLast="47" xr6:coauthVersionMax="47" xr10:uidLastSave="{F600AE0F-7504-459A-AAD3-81225E8754B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3" l="1"/>
  <c r="H62" i="3"/>
  <c r="F63" i="3"/>
  <c r="F62" i="3"/>
  <c r="H45" i="3" l="1"/>
  <c r="F45" i="3"/>
  <c r="H61" i="3" l="1"/>
  <c r="F61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F72" i="3"/>
  <c r="F70" i="3"/>
  <c r="F69" i="3"/>
  <c r="F68" i="3"/>
  <c r="F67" i="3"/>
  <c r="F74" i="3"/>
  <c r="F43" i="3"/>
  <c r="F49" i="3"/>
  <c r="H60" i="3" l="1"/>
  <c r="F59" i="3"/>
  <c r="F60" i="3"/>
  <c r="F22" i="3"/>
  <c r="H22" i="3"/>
  <c r="F23" i="3"/>
  <c r="H23" i="3"/>
  <c r="H59" i="3" l="1"/>
  <c r="F71" i="3" l="1"/>
  <c r="F73" i="3"/>
  <c r="F75" i="3"/>
  <c r="F76" i="3"/>
  <c r="F77" i="3"/>
  <c r="F78" i="3"/>
  <c r="F79" i="3"/>
  <c r="H58" i="3"/>
  <c r="F58" i="3"/>
  <c r="H39" i="3" l="1"/>
  <c r="H57" i="3"/>
  <c r="F57" i="3" l="1"/>
  <c r="H38" i="3" l="1"/>
  <c r="H40" i="3"/>
  <c r="H41" i="3"/>
  <c r="H42" i="3"/>
  <c r="H48" i="3"/>
  <c r="H43" i="3"/>
  <c r="H49" i="3"/>
  <c r="H46" i="3"/>
  <c r="H47" i="3"/>
  <c r="H44" i="3"/>
  <c r="H50" i="3"/>
  <c r="H51" i="3"/>
  <c r="H52" i="3"/>
  <c r="H53" i="3"/>
  <c r="H54" i="3"/>
  <c r="H55" i="3"/>
  <c r="H56" i="3"/>
  <c r="F38" i="3"/>
  <c r="F39" i="3"/>
  <c r="F40" i="3"/>
  <c r="F41" i="3"/>
  <c r="F42" i="3"/>
  <c r="F48" i="3"/>
  <c r="F46" i="3"/>
  <c r="F47" i="3"/>
  <c r="F44" i="3"/>
  <c r="F50" i="3"/>
  <c r="F51" i="3"/>
  <c r="F52" i="3"/>
  <c r="F53" i="3"/>
  <c r="F54" i="3"/>
  <c r="F55" i="3"/>
  <c r="F56" i="3"/>
  <c r="F31" i="3" l="1"/>
  <c r="F32" i="3"/>
  <c r="F33" i="3"/>
  <c r="F34" i="3"/>
  <c r="F35" i="3"/>
  <c r="F36" i="3"/>
  <c r="F37" i="3"/>
  <c r="H36" i="3"/>
  <c r="H37" i="3"/>
  <c r="H31" i="3" l="1"/>
  <c r="H32" i="3"/>
  <c r="H34" i="3" l="1"/>
  <c r="H35" i="3"/>
  <c r="H29" i="3"/>
  <c r="H30" i="3" l="1"/>
  <c r="H28" i="3" l="1"/>
  <c r="H27" i="3"/>
  <c r="H33" i="3"/>
  <c r="H24" i="3" l="1"/>
  <c r="H25" i="3"/>
  <c r="H26" i="3"/>
  <c r="C19" i="3" l="1" a="1"/>
  <c r="C19" i="3" s="1"/>
  <c r="C10" i="3" s="1"/>
  <c r="F28" i="3"/>
  <c r="F27" i="3"/>
  <c r="F30" i="3"/>
  <c r="F24" i="3" l="1"/>
  <c r="F25" i="3"/>
  <c r="F26" i="3"/>
  <c r="F29" i="3"/>
  <c r="C18" i="3"/>
  <c r="C13" i="3" l="1"/>
  <c r="G76" i="3"/>
  <c r="G78" i="3"/>
  <c r="C14" i="3"/>
  <c r="G77" i="3"/>
  <c r="G75" i="3"/>
  <c r="C11" i="3"/>
  <c r="G73" i="3"/>
  <c r="G72" i="3"/>
  <c r="C12" i="3"/>
  <c r="C3" i="3"/>
  <c r="C6" i="3"/>
  <c r="C5" i="3"/>
  <c r="C8" i="3"/>
  <c r="C4" i="3"/>
  <c r="C9" i="3"/>
  <c r="C7" i="3"/>
  <c r="G74" i="3"/>
  <c r="G67" i="3"/>
  <c r="G71" i="3"/>
  <c r="G70" i="3"/>
  <c r="G69" i="3"/>
  <c r="G68" i="3"/>
  <c r="C2" i="3"/>
  <c r="G79" i="3" l="1"/>
  <c r="G80" i="3" s="1"/>
  <c r="G63" i="3" l="1"/>
  <c r="E76" i="3" s="1"/>
  <c r="G62" i="3"/>
  <c r="G61" i="3"/>
  <c r="G44" i="3"/>
  <c r="G45" i="3"/>
  <c r="E66" i="3"/>
  <c r="G48" i="3" s="1"/>
  <c r="E74" i="3" s="1"/>
  <c r="E78" i="3" l="1"/>
  <c r="G32" i="3"/>
  <c r="G60" i="3"/>
  <c r="G24" i="3"/>
  <c r="G23" i="3"/>
  <c r="G22" i="3"/>
  <c r="G59" i="3"/>
  <c r="G58" i="3"/>
  <c r="G56" i="3"/>
  <c r="G43" i="3"/>
  <c r="G49" i="3"/>
  <c r="G36" i="3"/>
  <c r="G57" i="3"/>
  <c r="G52" i="3"/>
  <c r="G53" i="3"/>
  <c r="G37" i="3"/>
  <c r="G51" i="3"/>
  <c r="G38" i="3"/>
  <c r="E71" i="3" s="1"/>
  <c r="G31" i="3"/>
  <c r="G35" i="3"/>
  <c r="E69" i="3" s="1"/>
  <c r="G42" i="3"/>
  <c r="G40" i="3"/>
  <c r="G46" i="3"/>
  <c r="G47" i="3"/>
  <c r="G54" i="3"/>
  <c r="G39" i="3"/>
  <c r="G55" i="3"/>
  <c r="G41" i="3"/>
  <c r="G28" i="3"/>
  <c r="G50" i="3"/>
  <c r="G25" i="3"/>
  <c r="G26" i="3"/>
  <c r="G30" i="3"/>
  <c r="G33" i="3"/>
  <c r="G27" i="3"/>
  <c r="G29" i="3"/>
  <c r="G34" i="3"/>
  <c r="E68" i="3" s="1"/>
  <c r="E75" i="3" l="1"/>
  <c r="E72" i="3"/>
  <c r="E77" i="3"/>
  <c r="E67" i="3"/>
  <c r="E73" i="3"/>
  <c r="E70" i="3"/>
  <c r="E79" i="3" l="1"/>
  <c r="E80" i="3" s="1"/>
</calcChain>
</file>

<file path=xl/sharedStrings.xml><?xml version="1.0" encoding="utf-8"?>
<sst xmlns="http://schemas.openxmlformats.org/spreadsheetml/2006/main" count="133" uniqueCount="90">
  <si>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</si>
  <si>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</si>
  <si>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</si>
  <si>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</si>
  <si>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</si>
  <si>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</si>
  <si>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</si>
  <si>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</si>
  <si>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</si>
  <si>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</si>
  <si>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</si>
  <si>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</si>
  <si>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</si>
  <si>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</si>
  <si>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</si>
  <si>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</si>
  <si>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</si>
  <si>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</si>
  <si>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</si>
  <si>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</si>
  <si>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</si>
  <si>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</si>
  <si>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</si>
  <si>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</si>
  <si>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</si>
  <si>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</si>
  <si>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</si>
  <si>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</si>
  <si>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</si>
  <si>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</si>
  <si>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</si>
  <si>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</si>
  <si>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</si>
  <si>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</si>
  <si>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</si>
  <si>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</si>
  <si>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</si>
  <si>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</si>
  <si>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</si>
  <si>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</si>
  <si>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</si>
  <si>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</si>
  <si>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</si>
  <si>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</si>
  <si>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</si>
  <si>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</si>
  <si>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</si>
  <si>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</si>
  <si>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</si>
  <si>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</si>
  <si>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</si>
  <si>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</si>
  <si>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</si>
  <si>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</si>
  <si>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</si>
  <si>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</si>
  <si>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</si>
  <si>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</si>
  <si>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</si>
  <si>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</si>
  <si>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</si>
  <si>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</si>
  <si>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</si>
  <si>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</si>
  <si>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</si>
  <si>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</si>
  <si>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</si>
  <si>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</si>
  <si>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</si>
  <si>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</si>
  <si>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</si>
  <si>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</si>
  <si>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</si>
  <si>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</si>
  <si>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</si>
  <si>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</si>
  <si>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</si>
  <si>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</si>
  <si>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</si>
  <si>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</si>
  <si>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</si>
  <si>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</si>
  <si>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</si>
  <si>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</si>
  <si>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</si>
  <si>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</si>
  <si>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</si>
  <si>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</si>
  <si>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</si>
  <si>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Cancelled the order in the middle of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</si>
</sst>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Sheet1!$D$67:$D$79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Sheet1!$E$67:$E$79</c:f>
              <c:numCache>
                <c:formatCode>General</c:formatCode>
                <c:ptCount val="13"/>
                <c:pt idx="0">
                  <c:v>1.7999999999999999E-2</c:v>
                </c:pt>
                <c:pt idx="1">
                  <c:v>1.7000000000000001E-2</c:v>
                </c:pt>
                <c:pt idx="2">
                  <c:v>6.9000000000000006E-2</c:v>
                </c:pt>
                <c:pt idx="3">
                  <c:v>7.8E-2</c:v>
                </c:pt>
                <c:pt idx="4">
                  <c:v>0.02</c:v>
                </c:pt>
                <c:pt idx="5">
                  <c:v>0.01</c:v>
                </c:pt>
                <c:pt idx="6">
                  <c:v>0.26300000000000001</c:v>
                </c:pt>
                <c:pt idx="7">
                  <c:v>8.9999999999999993E-3</c:v>
                </c:pt>
                <c:pt idx="8">
                  <c:v>0.317</c:v>
                </c:pt>
                <c:pt idx="9">
                  <c:v>3.5000000000000003E-2</c:v>
                </c:pt>
                <c:pt idx="10">
                  <c:v>4.0000000000000001E-3</c:v>
                </c:pt>
                <c:pt idx="11">
                  <c:v>3.0000000000000001E-3</c:v>
                </c:pt>
                <c:pt idx="12">
                  <c:v>0.15700000000000003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3" totalsRowShown="0" headerRowDxfId="13" dataDxfId="11" headerRowBorderDxfId="12" tableBorderDxfId="10" totalsRowBorderDxfId="9">
  <autoFilter ref="A21:I83" xr:uid="{00000000-0009-0000-0100-000001000000}"/>
  <sortState xmlns:xlrd2="http://schemas.microsoft.com/office/spreadsheetml/2017/richdata2" ref="A22:I82">
    <sortCondition ref="A21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topLeftCell="A22" zoomScale="115" zoomScaleNormal="115" workbookViewId="0">
      <selection activeCell="I50" sqref="I5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45289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4.6338799852599681</v>
      </c>
      <c r="D2"/>
      <c r="E2" s="24"/>
      <c r="F2" s="17"/>
      <c r="G2" s="17"/>
      <c r="H2" s="16"/>
    </row>
    <row r="3" spans="1:8" s="13" customFormat="1" x14ac:dyDescent="0.25">
      <c r="A3" s="67" t="s">
        <v>40</v>
      </c>
      <c r="B3" s="68"/>
      <c r="C3" s="15">
        <f>SUM(H22:H33)/C18</f>
        <v>0.10175994758993646</v>
      </c>
      <c r="D3"/>
      <c r="E3" s="24"/>
      <c r="F3" s="17"/>
      <c r="G3" s="17"/>
      <c r="H3" s="16"/>
    </row>
    <row r="4" spans="1:8" s="13" customFormat="1" x14ac:dyDescent="0.25">
      <c r="A4" s="61" t="s">
        <v>75</v>
      </c>
      <c r="B4" s="62"/>
      <c r="C4" s="15">
        <f>SUM(H34)/C18</f>
        <v>9.5548057024681374E-2</v>
      </c>
      <c r="D4"/>
      <c r="E4" s="24"/>
      <c r="F4" s="17"/>
      <c r="G4" s="17"/>
      <c r="H4" s="16"/>
    </row>
    <row r="5" spans="1:8" s="13" customFormat="1" x14ac:dyDescent="0.25">
      <c r="A5" s="67" t="s">
        <v>71</v>
      </c>
      <c r="B5" s="68"/>
      <c r="C5" s="15">
        <f>SUM(H35)/C18</f>
        <v>0.38141683042977614</v>
      </c>
      <c r="D5"/>
      <c r="E5" s="24"/>
      <c r="F5" s="17"/>
      <c r="G5" s="17"/>
      <c r="H5" s="16"/>
    </row>
    <row r="6" spans="1:8" s="13" customFormat="1" x14ac:dyDescent="0.25">
      <c r="A6" s="61" t="s">
        <v>67</v>
      </c>
      <c r="B6" s="62"/>
      <c r="C6" s="15">
        <f>SUM(H36:H37)/C18</f>
        <v>0.43078253669336231</v>
      </c>
      <c r="D6"/>
      <c r="E6" s="24"/>
      <c r="F6" s="17"/>
      <c r="G6" s="17"/>
      <c r="H6" s="16"/>
    </row>
    <row r="7" spans="1:8" s="13" customFormat="1" x14ac:dyDescent="0.25">
      <c r="A7" s="61" t="s">
        <v>72</v>
      </c>
      <c r="B7" s="62"/>
      <c r="C7" s="15">
        <f>SUM(H38)/C18</f>
        <v>0.1084871892308565</v>
      </c>
      <c r="D7"/>
      <c r="E7" s="24"/>
      <c r="F7" s="17"/>
      <c r="G7" s="17"/>
      <c r="H7" s="16"/>
    </row>
    <row r="8" spans="1:8" s="13" customFormat="1" x14ac:dyDescent="0.25">
      <c r="A8" s="67" t="s">
        <v>44</v>
      </c>
      <c r="B8" s="68"/>
      <c r="C8" s="15">
        <f>SUM(H39:H45)/C18</f>
        <v>5.2788505854691303E-2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SUM(H46:H47)/C18</f>
        <v>1.4440411200690633</v>
      </c>
      <c r="D9"/>
      <c r="E9" s="24"/>
      <c r="F9" s="17"/>
      <c r="G9" s="17"/>
      <c r="H9" s="16"/>
    </row>
    <row r="10" spans="1:8" s="13" customFormat="1" x14ac:dyDescent="0.25">
      <c r="A10" s="61" t="s">
        <v>83</v>
      </c>
      <c r="B10" s="62"/>
      <c r="C10" s="15">
        <f>SUM(H48)/C19</f>
        <v>1.0306237146107082E-2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SUM(H51:H60)/C18</f>
        <v>1.7420231604197729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SUM(H49:H50)/C18</f>
        <v>2.4025516657274322E-2</v>
      </c>
      <c r="D12"/>
      <c r="E12" s="24"/>
      <c r="F12" s="17"/>
      <c r="G12" s="17"/>
      <c r="H12" s="16"/>
    </row>
    <row r="13" spans="1:8" s="13" customFormat="1" x14ac:dyDescent="0.25">
      <c r="A13" s="67" t="s">
        <v>41</v>
      </c>
      <c r="B13" s="68"/>
      <c r="C13" s="15">
        <f>SUM(H63)/C18</f>
        <v>0.19064850154668775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39</v>
      </c>
      <c r="B14" s="66"/>
      <c r="C14" s="15">
        <f>SUM(H61:H62)/C18</f>
        <v>1.460075370917781E-2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54528459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54528459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252678334.7871688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44.12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($)]]/(IF(G80&gt;0, G66,E66)*C18)*100,3)</f>
        <v>0.187</v>
      </c>
      <c r="H22" s="42">
        <f>Table132[[#This Row],[New position]]*Table132[[#This Row],[Last_Price]]</f>
        <v>560544.6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51</v>
      </c>
      <c r="B23" s="37" t="s">
        <v>14</v>
      </c>
      <c r="C23" s="49">
        <v>193.78</v>
      </c>
      <c r="D23" s="37">
        <v>2839</v>
      </c>
      <c r="E23" s="37">
        <v>2839</v>
      </c>
      <c r="F23" s="36">
        <f>Table132[[#This Row],[New position]]-Table132[[#This Row],[Old position]]</f>
        <v>0</v>
      </c>
      <c r="G23" s="37">
        <f>ROUND(Table132[[#This Row],[Target allocation ($)]]/(IF(G80&gt;0, G66,E66)*C18)*100,3)</f>
        <v>0.183</v>
      </c>
      <c r="H23" s="42">
        <f>Table132[[#This Row],[New position]]*Table132[[#This Row],[Last_Price]]</f>
        <v>550141.42000000004</v>
      </c>
      <c r="I23" s="52"/>
      <c r="M23"/>
      <c r="N23"/>
      <c r="O23"/>
      <c r="P23"/>
      <c r="Q23"/>
      <c r="R23"/>
    </row>
    <row r="24" spans="1:18" x14ac:dyDescent="0.25">
      <c r="A24" s="37" t="s">
        <v>52</v>
      </c>
      <c r="B24" s="37" t="s">
        <v>14</v>
      </c>
      <c r="C24" s="49">
        <v>376</v>
      </c>
      <c r="D24" s="37">
        <v>1436</v>
      </c>
      <c r="E24" s="37">
        <v>1436</v>
      </c>
      <c r="F24" s="36">
        <f>Table132[[#This Row],[New position]]-Table132[[#This Row],[Old position]]</f>
        <v>0</v>
      </c>
      <c r="G24" s="37">
        <f>ROUND(Table132[[#This Row],[Target allocation ($)]]/(IF(G80&gt;0, G66,E66)*C18)*100,3)</f>
        <v>0.18</v>
      </c>
      <c r="H24" s="42">
        <f>Table132[[#This Row],[New position]]*Table132[[#This Row],[Last_Price]]</f>
        <v>539936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140.16999999999999</v>
      </c>
      <c r="D25" s="37">
        <v>3945</v>
      </c>
      <c r="E25" s="37">
        <v>3945</v>
      </c>
      <c r="F25" s="36">
        <f>Table132[[#This Row],[New position]]-Table132[[#This Row],[Old position]]</f>
        <v>0</v>
      </c>
      <c r="G25" s="37">
        <f>ROUND(Table132[[#This Row],[Target allocation ($)]]/(IF(G80&gt;0, G66,E66)*C18)*100,3)</f>
        <v>0.184</v>
      </c>
      <c r="H25" s="42">
        <f>Table132[[#This Row],[New position]]*Table132[[#This Row],[Last_Price]]</f>
        <v>552970.64999999991</v>
      </c>
      <c r="I25" s="28"/>
      <c r="L25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40.68</v>
      </c>
      <c r="D26" s="37">
        <v>6756</v>
      </c>
      <c r="E26" s="37">
        <v>6756</v>
      </c>
      <c r="F26" s="36">
        <f>Table132[[#This Row],[New position]]-Table132[[#This Row],[Old position]]</f>
        <v>0</v>
      </c>
      <c r="G26" s="37">
        <f>ROUND(Table132[[#This Row],[Target allocation ($)]]/(IF(G80&gt;0, G66,E66)*C18)*100,3)</f>
        <v>9.1999999999999998E-2</v>
      </c>
      <c r="H26" s="42">
        <f>Table132[[#This Row],[New position]]*Table132[[#This Row],[Last_Price]]</f>
        <v>274834.08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581.6</v>
      </c>
      <c r="D27" s="37">
        <v>914</v>
      </c>
      <c r="E27" s="37">
        <v>914</v>
      </c>
      <c r="F27" s="36">
        <f>Table132[[#This Row],[New position]]-Table132[[#This Row],[Old position]]</f>
        <v>0</v>
      </c>
      <c r="G27" s="37">
        <f>ROUND(Table132[[#This Row],[Target allocation ($)]]/(IF(G80&gt;0, G66,E66)*C18)*100,3)</f>
        <v>0.17699999999999999</v>
      </c>
      <c r="H27" s="42">
        <f>Table132[[#This Row],[New position]]*Table132[[#This Row],[Last_Price]]</f>
        <v>531582.4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758.88</v>
      </c>
      <c r="D28" s="37">
        <v>492</v>
      </c>
      <c r="E28" s="37">
        <v>492</v>
      </c>
      <c r="F28" s="36">
        <f>Table132[[#This Row],[New position]]-Table132[[#This Row],[Old position]]</f>
        <v>0</v>
      </c>
      <c r="G28" s="37">
        <f>ROUND(Table132[[#This Row],[Target allocation ($)]]/(IF(G80&gt;0, G66,E66)*C18)*100,3)</f>
        <v>0.124</v>
      </c>
      <c r="H28" s="42">
        <f>Table132[[#This Row],[New position]]*Table132[[#This Row],[Last_Price]]</f>
        <v>373368.96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335.24</v>
      </c>
      <c r="D29" s="37">
        <v>1531</v>
      </c>
      <c r="E29" s="37">
        <v>1531</v>
      </c>
      <c r="F29" s="36">
        <f>Table132[[#This Row],[New position]]-Table132[[#This Row],[Old position]]</f>
        <v>0</v>
      </c>
      <c r="G29" s="37">
        <f>ROUND(Table132[[#This Row],[Target allocation ($)]]/(IF(G80&gt;0, G66,E66)*C18)*100,3)</f>
        <v>0.17100000000000001</v>
      </c>
      <c r="H29" s="42">
        <f>Table132[[#This Row],[New position]]*Table132[[#This Row],[Last_Price]]</f>
        <v>513252.44</v>
      </c>
      <c r="I29" s="30"/>
      <c r="J29" s="26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347.35</v>
      </c>
      <c r="D30" s="37">
        <v>1326</v>
      </c>
      <c r="E30" s="37">
        <v>1326</v>
      </c>
      <c r="F30" s="36">
        <f>Table132[[#This Row],[New position]]-Table132[[#This Row],[Old position]]</f>
        <v>0</v>
      </c>
      <c r="G30" s="37">
        <f>ROUND(Table132[[#This Row],[Target allocation ($)]]/(IF(G80&gt;0, G66,E66)*C18)*100,3)</f>
        <v>0.154</v>
      </c>
      <c r="H30" s="42">
        <f>Table132[[#This Row],[New position]]*Table132[[#This Row],[Last_Price]]</f>
        <v>460586.10000000003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59</v>
      </c>
      <c r="B31" s="37" t="s">
        <v>14</v>
      </c>
      <c r="C31" s="49">
        <v>127.98</v>
      </c>
      <c r="D31" s="37">
        <v>3304</v>
      </c>
      <c r="E31" s="37">
        <v>3304</v>
      </c>
      <c r="F31" s="36">
        <f>Table132[[#This Row],[New position]]-Table132[[#This Row],[Old position]]</f>
        <v>0</v>
      </c>
      <c r="G31" s="37">
        <f>ROUND(Table132[[#This Row],[Target allocation ($)]]/(IF(G80&gt;0, G66,E66)*C18)*100,3)</f>
        <v>0.14099999999999999</v>
      </c>
      <c r="H31" s="42">
        <f>Table132[[#This Row],[New position]]*Table132[[#This Row],[Last_Price]]</f>
        <v>422845.92000000004</v>
      </c>
      <c r="I31" s="57"/>
      <c r="L31"/>
      <c r="M31"/>
      <c r="N31"/>
      <c r="O31"/>
      <c r="P31"/>
      <c r="Q31"/>
      <c r="R31"/>
    </row>
    <row r="32" spans="1:18" x14ac:dyDescent="0.25">
      <c r="A32" s="47" t="s">
        <v>64</v>
      </c>
      <c r="B32" s="37" t="s">
        <v>14</v>
      </c>
      <c r="C32" s="49">
        <v>152.24</v>
      </c>
      <c r="D32" s="37">
        <v>2704</v>
      </c>
      <c r="E32" s="37">
        <v>2704</v>
      </c>
      <c r="F32" s="36">
        <f>Table132[[#This Row],[New position]]-Table132[[#This Row],[Old position]]</f>
        <v>0</v>
      </c>
      <c r="G32" s="37">
        <f>ROUND(Table132[[#This Row],[Target allocation ($)]]/(IF(G80&gt;0, G66,E66)*C18)*100,3)</f>
        <v>0.13700000000000001</v>
      </c>
      <c r="H32" s="42">
        <f>Table132[[#This Row],[New position]]*Table132[[#This Row],[Last_Price]]</f>
        <v>411656.96000000002</v>
      </c>
      <c r="I32" s="57"/>
      <c r="L32"/>
      <c r="M32"/>
      <c r="N32"/>
      <c r="O32"/>
      <c r="P32"/>
      <c r="Q32"/>
      <c r="R32"/>
    </row>
    <row r="33" spans="1:18" x14ac:dyDescent="0.25">
      <c r="A33" s="37" t="s">
        <v>66</v>
      </c>
      <c r="B33" s="37" t="s">
        <v>14</v>
      </c>
      <c r="C33" s="49">
        <v>108.87</v>
      </c>
      <c r="D33" s="37">
        <v>3280</v>
      </c>
      <c r="E33" s="37">
        <v>3280</v>
      </c>
      <c r="F33" s="36">
        <f>Table132[[#This Row],[New position]]-Table132[[#This Row],[Old position]]</f>
        <v>0</v>
      </c>
      <c r="G33" s="37">
        <f>ROUND(Table132[[#This Row],[Target allocation ($)]]/(IF(G80&gt;0, G66,E66)*C18)*100,3)</f>
        <v>0.11899999999999999</v>
      </c>
      <c r="H33" s="42">
        <f>Table132[[#This Row],[New position]]*Table132[[#This Row],[Last_Price]]</f>
        <v>357093.60000000003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74</v>
      </c>
      <c r="B34" s="37" t="s">
        <v>14</v>
      </c>
      <c r="C34" s="49">
        <v>32.270000000000003</v>
      </c>
      <c r="D34" s="37">
        <v>161453</v>
      </c>
      <c r="E34" s="37">
        <v>161453</v>
      </c>
      <c r="F34" s="36">
        <f>Table132[[#This Row],[New position]]-Table132[[#This Row],[Old position]]</f>
        <v>0</v>
      </c>
      <c r="G34" s="37">
        <f>ROUND(Table132[[#This Row],[Target allocation ($)]]/(IF(G80&gt;0, G66,E66)*C18)*100,3)</f>
        <v>1.7370000000000001</v>
      </c>
      <c r="H34" s="42">
        <f>Table132[[#This Row],[New position]]*Table132[[#This Row],[Last_Price]]</f>
        <v>5210088.3100000005</v>
      </c>
      <c r="I34" s="54"/>
      <c r="L34" s="53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49">
        <v>41.48</v>
      </c>
      <c r="D35" s="37">
        <v>501400</v>
      </c>
      <c r="E35" s="37">
        <v>501400</v>
      </c>
      <c r="F35" s="36">
        <f>Table132[[#This Row],[New position]]-Table132[[#This Row],[Old position]]</f>
        <v>0</v>
      </c>
      <c r="G35" s="37">
        <f>ROUND(Table132[[#This Row],[Target allocation ($)]]/(IF(G80&gt;0, G66,E66)*C18)*100,3)</f>
        <v>6.9349999999999996</v>
      </c>
      <c r="H35" s="42">
        <f>Table132[[#This Row],[New position]]*Table132[[#This Row],[Last_Price]]</f>
        <v>20798072</v>
      </c>
      <c r="I35" s="58"/>
      <c r="L35" s="53"/>
      <c r="M35"/>
      <c r="N35"/>
      <c r="O35"/>
      <c r="P35"/>
      <c r="Q35"/>
      <c r="R35"/>
    </row>
    <row r="36" spans="1:18" x14ac:dyDescent="0.25">
      <c r="A36" s="37" t="s">
        <v>49</v>
      </c>
      <c r="B36" s="37" t="s">
        <v>14</v>
      </c>
      <c r="C36" s="49">
        <v>55.34</v>
      </c>
      <c r="D36" s="37">
        <v>252690</v>
      </c>
      <c r="E36" s="37">
        <v>252690</v>
      </c>
      <c r="F36" s="36">
        <f>Table132[[#This Row],[New position]]-Table132[[#This Row],[Old position]]</f>
        <v>0</v>
      </c>
      <c r="G36" s="37">
        <f>ROUND(Table132[[#This Row],[Target allocation ($)]]/(IF(G80&gt;0, G66,E66)*C18)*100,3)</f>
        <v>4.6630000000000003</v>
      </c>
      <c r="H36" s="42">
        <f>Table132[[#This Row],[New position]]*Table132[[#This Row],[Last_Price]]</f>
        <v>13983864.600000001</v>
      </c>
      <c r="I36" s="58"/>
      <c r="L36" s="53"/>
      <c r="M36"/>
      <c r="N36"/>
      <c r="O36"/>
      <c r="P36"/>
      <c r="Q36"/>
      <c r="R36"/>
    </row>
    <row r="37" spans="1:18" x14ac:dyDescent="0.25">
      <c r="A37" s="47" t="s">
        <v>50</v>
      </c>
      <c r="B37" s="47" t="s">
        <v>14</v>
      </c>
      <c r="C37" s="49">
        <v>105.11</v>
      </c>
      <c r="D37" s="37">
        <v>90439</v>
      </c>
      <c r="E37" s="37">
        <v>90439</v>
      </c>
      <c r="F37" s="36">
        <f>Table132[[#This Row],[New position]]-Table132[[#This Row],[Old position]]</f>
        <v>0</v>
      </c>
      <c r="G37" s="37">
        <f>ROUND(Table132[[#This Row],[Target allocation ($)]]/(IF(G80&gt;0, G66,E66)*C18)*100,3)</f>
        <v>3.17</v>
      </c>
      <c r="H37" s="42">
        <f>Table132[[#This Row],[New position]]*Table132[[#This Row],[Last_Price]]</f>
        <v>9506043.2899999991</v>
      </c>
      <c r="I37" s="29"/>
      <c r="L37" s="53"/>
      <c r="M37"/>
      <c r="N37"/>
      <c r="O37"/>
      <c r="P37"/>
      <c r="Q37"/>
      <c r="R37"/>
    </row>
    <row r="38" spans="1:18" x14ac:dyDescent="0.25">
      <c r="A38" s="47" t="s">
        <v>68</v>
      </c>
      <c r="B38" s="47" t="s">
        <v>14</v>
      </c>
      <c r="C38" s="49">
        <v>74.650000000000006</v>
      </c>
      <c r="D38" s="37">
        <v>79245</v>
      </c>
      <c r="E38" s="37">
        <v>79245</v>
      </c>
      <c r="F38" s="36">
        <f>Table132[[#This Row],[New position]]-Table132[[#This Row],[Old position]]</f>
        <v>0</v>
      </c>
      <c r="G38" s="37">
        <f>ROUND(Table132[[#This Row],[Target allocation ($)]]/(IF(G80&gt;0, G66,E66)*C18)*100,3)</f>
        <v>1.972</v>
      </c>
      <c r="H38" s="42">
        <f>Table132[[#This Row],[New position]]*Table132[[#This Row],[Last_Price]]</f>
        <v>5915639.25</v>
      </c>
      <c r="I38" s="29"/>
      <c r="L38" s="53"/>
      <c r="M38"/>
      <c r="N38"/>
      <c r="O38"/>
      <c r="P38"/>
      <c r="Q38"/>
      <c r="R38"/>
    </row>
    <row r="39" spans="1:18" x14ac:dyDescent="0.25">
      <c r="A39" s="47">
        <v>600519</v>
      </c>
      <c r="B39" s="47" t="s">
        <v>14</v>
      </c>
      <c r="C39" s="49">
        <v>240.852161785216</v>
      </c>
      <c r="D39" s="37">
        <v>900</v>
      </c>
      <c r="E39" s="37">
        <v>900</v>
      </c>
      <c r="F39" s="36">
        <f>Table132[[#This Row],[New position]]-Table132[[#This Row],[Old position]]</f>
        <v>0</v>
      </c>
      <c r="G39" s="37">
        <f>ROUND(Table132[[#This Row],[Target allocation ($)]]/(IF(G80&gt;0, G66,E66)*C18)*100,3)</f>
        <v>7.1999999999999995E-2</v>
      </c>
      <c r="H39" s="42">
        <f>Table132[[#This Row],[New position]]*Table132[[#This Row],[Last_Price]]</f>
        <v>216766.94560669441</v>
      </c>
      <c r="I39" s="29"/>
      <c r="L39" s="53"/>
      <c r="M39"/>
      <c r="N39"/>
      <c r="O39"/>
      <c r="P39"/>
      <c r="Q39"/>
      <c r="R39"/>
    </row>
    <row r="40" spans="1:18" x14ac:dyDescent="0.25">
      <c r="A40" s="47">
        <v>700</v>
      </c>
      <c r="B40" s="47" t="s">
        <v>14</v>
      </c>
      <c r="C40" s="49">
        <v>37.387964148527502</v>
      </c>
      <c r="D40" s="37">
        <v>12900</v>
      </c>
      <c r="E40" s="37">
        <v>12900</v>
      </c>
      <c r="F40" s="36">
        <f>Table132[[#This Row],[New position]]-Table132[[#This Row],[Old position]]</f>
        <v>0</v>
      </c>
      <c r="G40" s="37">
        <f>ROUND(Table132[[#This Row],[Target allocation ($)]]/(IF(G80&gt;0, G66,E66)*C18)*100,3)</f>
        <v>0.161</v>
      </c>
      <c r="H40" s="42">
        <f>Table132[[#This Row],[New position]]*Table132[[#This Row],[Last_Price]]</f>
        <v>482304.73751600477</v>
      </c>
      <c r="I40" s="58"/>
      <c r="L40" s="53"/>
      <c r="M40"/>
      <c r="N40"/>
      <c r="O40"/>
      <c r="P40"/>
      <c r="Q40"/>
      <c r="R40"/>
    </row>
    <row r="41" spans="1:18" x14ac:dyDescent="0.25">
      <c r="A41" s="47">
        <v>9988</v>
      </c>
      <c r="B41" s="47" t="s">
        <v>14</v>
      </c>
      <c r="C41" s="49">
        <v>9.6606914212547998</v>
      </c>
      <c r="D41" s="37">
        <v>22000</v>
      </c>
      <c r="E41" s="37">
        <v>22000</v>
      </c>
      <c r="F41" s="36">
        <f>Table132[[#This Row],[New position]]-Table132[[#This Row],[Old position]]</f>
        <v>0</v>
      </c>
      <c r="G41" s="37">
        <f>ROUND(Table132[[#This Row],[Target allocation ($)]]/(IF(G80&gt;0, G66,E66)*C18)*100,3)</f>
        <v>7.0999999999999994E-2</v>
      </c>
      <c r="H41" s="42">
        <f>Table132[[#This Row],[New position]]*Table132[[#This Row],[Last_Price]]</f>
        <v>212535.2112676056</v>
      </c>
      <c r="I41" s="58"/>
      <c r="L41" s="53"/>
      <c r="M41"/>
      <c r="N41"/>
      <c r="O41"/>
      <c r="P41"/>
      <c r="Q41"/>
      <c r="R41"/>
    </row>
    <row r="42" spans="1:18" x14ac:dyDescent="0.25">
      <c r="A42" s="47">
        <v>9888</v>
      </c>
      <c r="B42" s="47" t="s">
        <v>14</v>
      </c>
      <c r="C42" s="49">
        <v>14.8783610755442</v>
      </c>
      <c r="D42" s="37">
        <v>15600</v>
      </c>
      <c r="E42" s="37">
        <v>15600</v>
      </c>
      <c r="F42" s="36">
        <f>Table132[[#This Row],[New position]]-Table132[[#This Row],[Old position]]</f>
        <v>0</v>
      </c>
      <c r="G42" s="37">
        <f>ROUND(Table132[[#This Row],[Target allocation ($)]]/(IF(G80&gt;0, G66,E66)*C18)*100,3)</f>
        <v>7.6999999999999999E-2</v>
      </c>
      <c r="H42" s="42">
        <f>Table132[[#This Row],[New position]]*Table132[[#This Row],[Last_Price]]</f>
        <v>232102.43277848951</v>
      </c>
      <c r="I42" s="58"/>
      <c r="L42" s="53"/>
      <c r="M42"/>
      <c r="N42"/>
      <c r="O42"/>
      <c r="P42"/>
      <c r="Q42"/>
      <c r="R42"/>
    </row>
    <row r="43" spans="1:18" x14ac:dyDescent="0.25">
      <c r="A43" s="47" t="s">
        <v>85</v>
      </c>
      <c r="B43" s="47" t="s">
        <v>14</v>
      </c>
      <c r="C43" s="49">
        <v>64.22</v>
      </c>
      <c r="D43" s="37">
        <v>17878</v>
      </c>
      <c r="E43" s="37">
        <v>17878</v>
      </c>
      <c r="F43" s="36">
        <f>Table132[[#This Row],[New position]]-Table132[[#This Row],[Old position]]</f>
        <v>0</v>
      </c>
      <c r="G43" s="37">
        <f>ROUND(Table132[[#This Row],[Target allocation ($)]]/(IF(G80&gt;0, G66,E66)*C18)*100,3)</f>
        <v>0.38300000000000001</v>
      </c>
      <c r="H43" s="42">
        <f>Table132[[#This Row],[New position]]*Table132[[#This Row],[Last_Price]]</f>
        <v>1148125.1599999999</v>
      </c>
      <c r="I43" s="29"/>
      <c r="L43" s="53"/>
      <c r="M43"/>
      <c r="N43"/>
      <c r="O43"/>
      <c r="P43"/>
      <c r="Q43"/>
      <c r="R43"/>
    </row>
    <row r="44" spans="1:18" x14ac:dyDescent="0.25">
      <c r="A44" s="47" t="s">
        <v>84</v>
      </c>
      <c r="B44" s="47" t="s">
        <v>14</v>
      </c>
      <c r="C44" s="49">
        <v>103.86</v>
      </c>
      <c r="D44" s="37">
        <v>2750</v>
      </c>
      <c r="E44" s="37">
        <v>2750</v>
      </c>
      <c r="F44" s="36">
        <f>Table132[[#This Row],[New position]]-Table132[[#This Row],[Old position]]</f>
        <v>0</v>
      </c>
      <c r="G44" s="37">
        <f>ROUND(Table132[[#This Row],[Target allocation ($)]]/(IF(G80&gt;0, G66,E66)*C18)*100,3)</f>
        <v>9.5000000000000001E-2</v>
      </c>
      <c r="H44" s="42">
        <f>Table132[[#This Row],[New position]]*Table132[[#This Row],[Last_Price]]</f>
        <v>285615</v>
      </c>
      <c r="I44" s="58"/>
      <c r="L44" s="53"/>
      <c r="M44"/>
      <c r="N44"/>
      <c r="O44"/>
      <c r="P44"/>
      <c r="Q44"/>
      <c r="R44"/>
    </row>
    <row r="45" spans="1:18" x14ac:dyDescent="0.25">
      <c r="A45" s="47" t="s">
        <v>86</v>
      </c>
      <c r="B45" s="47" t="s">
        <v>14</v>
      </c>
      <c r="C45" s="49">
        <v>22.89</v>
      </c>
      <c r="D45" s="37">
        <v>13151</v>
      </c>
      <c r="E45" s="37">
        <v>13151</v>
      </c>
      <c r="F45" s="36">
        <f>Table132[[#This Row],[New position]]-Table132[[#This Row],[Old position]]</f>
        <v>0</v>
      </c>
      <c r="G45" s="37">
        <f>ROUND(Table132[[#This Row],[Target allocation ($)]]/(IF(G80&gt;0, G66,E66)*C18)*100,3)</f>
        <v>0.1</v>
      </c>
      <c r="H45" s="42">
        <f>Table132[[#This Row],[New position]]*Table132[[#This Row],[Last_Price]]</f>
        <v>301026.39</v>
      </c>
      <c r="I45" s="64"/>
      <c r="L45" s="53"/>
      <c r="M45"/>
      <c r="N45"/>
      <c r="O45"/>
      <c r="P45"/>
      <c r="Q45"/>
      <c r="R45"/>
    </row>
    <row r="46" spans="1:18" x14ac:dyDescent="0.25">
      <c r="A46" s="47" t="s">
        <v>11</v>
      </c>
      <c r="B46" s="47" t="s">
        <v>14</v>
      </c>
      <c r="C46" s="49">
        <v>411.68</v>
      </c>
      <c r="D46" s="37">
        <v>182668</v>
      </c>
      <c r="E46" s="37">
        <v>182668</v>
      </c>
      <c r="F46" s="36">
        <f>Table132[[#This Row],[New position]]-Table132[[#This Row],[Old position]]</f>
        <v>0</v>
      </c>
      <c r="G46" s="37">
        <f>ROUND(Table132[[#This Row],[Target allocation ($)]]/(IF(G80&gt;0, G66,E66)*C18)*100,3)</f>
        <v>25.074999999999999</v>
      </c>
      <c r="H46" s="42">
        <f>Table132[[#This Row],[New position]]*Table132[[#This Row],[Last_Price]]</f>
        <v>75200762.239999995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77</v>
      </c>
      <c r="B47" s="47" t="s">
        <v>14</v>
      </c>
      <c r="C47" s="49">
        <v>51.53</v>
      </c>
      <c r="D47" s="37">
        <v>68709</v>
      </c>
      <c r="E47" s="37">
        <v>68709</v>
      </c>
      <c r="F47" s="36">
        <f>Table132[[#This Row],[New position]]-Table132[[#This Row],[Old position]]</f>
        <v>0</v>
      </c>
      <c r="G47" s="37">
        <f>ROUND(Table132[[#This Row],[Target allocation ($)]]/(IF(G80&gt;0, G66,E66)*C18)*100,3)</f>
        <v>1.181</v>
      </c>
      <c r="H47" s="42">
        <f>Table132[[#This Row],[New position]]*Table132[[#This Row],[Last_Price]]</f>
        <v>3540574.77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78</v>
      </c>
      <c r="B48" s="47" t="s">
        <v>14</v>
      </c>
      <c r="C48" s="49">
        <v>102.04</v>
      </c>
      <c r="D48" s="37">
        <v>25521</v>
      </c>
      <c r="E48" s="37">
        <v>25521</v>
      </c>
      <c r="F48" s="36">
        <f>Table132[[#This Row],[New position]]-Table132[[#This Row],[Old position]]</f>
        <v>0</v>
      </c>
      <c r="G48" s="37">
        <f>ROUND(Table132[[#This Row],[Target allocation ($)]]/(IF(G80&gt;0, G66,E66)*C18)*100,3)</f>
        <v>0.86799999999999999</v>
      </c>
      <c r="H48" s="42">
        <f>Table132[[#This Row],[New position]]*Table132[[#This Row],[Last_Price]]</f>
        <v>2604162.8400000003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33</v>
      </c>
      <c r="B49" s="47" t="s">
        <v>14</v>
      </c>
      <c r="C49" s="49">
        <v>47.75</v>
      </c>
      <c r="D49" s="37">
        <v>13652</v>
      </c>
      <c r="E49" s="37">
        <v>13652</v>
      </c>
      <c r="F49" s="36">
        <f>Table132[[#This Row],[New position]]-Table132[[#This Row],[Old position]]</f>
        <v>0</v>
      </c>
      <c r="G49" s="37">
        <f>ROUND(Table132[[#This Row],[Target allocation ($)]]/(IF(G80&gt;0, G66,E66)*C18)*100,3)</f>
        <v>0.217</v>
      </c>
      <c r="H49" s="42">
        <f>Table132[[#This Row],[New position]]*Table132[[#This Row],[Last_Price]]</f>
        <v>651883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87</v>
      </c>
      <c r="B50" s="47" t="s">
        <v>14</v>
      </c>
      <c r="C50" s="49">
        <v>21.05</v>
      </c>
      <c r="D50" s="37">
        <v>29900</v>
      </c>
      <c r="E50" s="37">
        <v>31268</v>
      </c>
      <c r="F50" s="36">
        <f>Table132[[#This Row],[New position]]-Table132[[#This Row],[Old position]]</f>
        <v>1368</v>
      </c>
      <c r="G50" s="37">
        <f>ROUND(Table132[[#This Row],[Target allocation ($)]]/(IF(G80&gt;0, G66,E66)*C18)*100,3)</f>
        <v>0.219</v>
      </c>
      <c r="H50" s="42">
        <f>Table132[[#This Row],[New position]]*Table132[[#This Row],[Last_Price]]</f>
        <v>658191.4</v>
      </c>
      <c r="I50" s="29" t="s">
        <v>89</v>
      </c>
      <c r="L50" s="53"/>
      <c r="M50"/>
      <c r="N50"/>
      <c r="O50"/>
      <c r="P50"/>
      <c r="Q50"/>
      <c r="R50"/>
    </row>
    <row r="51" spans="1:18" x14ac:dyDescent="0.25">
      <c r="A51" s="47" t="s">
        <v>34</v>
      </c>
      <c r="B51" s="47" t="s">
        <v>14</v>
      </c>
      <c r="C51" s="49">
        <v>81.44</v>
      </c>
      <c r="D51" s="37">
        <v>127560</v>
      </c>
      <c r="E51" s="37">
        <v>127560</v>
      </c>
      <c r="F51" s="36">
        <f>Table132[[#This Row],[New position]]-Table132[[#This Row],[Old position]]</f>
        <v>0</v>
      </c>
      <c r="G51" s="37">
        <f>ROUND(Table132[[#This Row],[Target allocation ($)]]/(IF(G80&gt;0, G66,E66)*C18)*100,3)</f>
        <v>3.464</v>
      </c>
      <c r="H51" s="42">
        <f>Table132[[#This Row],[New position]]*Table132[[#This Row],[Last_Price]]</f>
        <v>10388486.4</v>
      </c>
      <c r="I51" s="29"/>
      <c r="L51" s="53"/>
      <c r="M51"/>
      <c r="N51"/>
      <c r="O51"/>
      <c r="P51"/>
      <c r="Q51"/>
      <c r="R51"/>
    </row>
    <row r="52" spans="1:18" x14ac:dyDescent="0.25">
      <c r="A52" s="47" t="s">
        <v>35</v>
      </c>
      <c r="B52" s="47" t="s">
        <v>14</v>
      </c>
      <c r="C52" s="49">
        <v>72.44</v>
      </c>
      <c r="D52" s="37">
        <v>145699</v>
      </c>
      <c r="E52" s="37">
        <v>145699</v>
      </c>
      <c r="F52" s="36">
        <f>Table132[[#This Row],[New position]]-Table132[[#This Row],[Old position]]</f>
        <v>0</v>
      </c>
      <c r="G52" s="37">
        <f>ROUND(Table132[[#This Row],[Target allocation ($)]]/(IF(G80&gt;0, G66,E66)*C18)*100,3)</f>
        <v>3.5190000000000001</v>
      </c>
      <c r="H52" s="42">
        <f>Table132[[#This Row],[New position]]*Table132[[#This Row],[Last_Price]]</f>
        <v>10554435.560000001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45</v>
      </c>
      <c r="B53" s="47" t="s">
        <v>14</v>
      </c>
      <c r="C53" s="49">
        <v>99.7</v>
      </c>
      <c r="D53" s="37">
        <v>104876</v>
      </c>
      <c r="E53" s="37">
        <v>104876</v>
      </c>
      <c r="F53" s="36">
        <f>Table132[[#This Row],[New position]]-Table132[[#This Row],[Old position]]</f>
        <v>0</v>
      </c>
      <c r="G53" s="37">
        <f>ROUND(Table132[[#This Row],[Target allocation ($)]]/(IF(G80&gt;0, G66,E66)*C18)*100,3)</f>
        <v>3.4860000000000002</v>
      </c>
      <c r="H53" s="42">
        <f>Table132[[#This Row],[New position]]*Table132[[#This Row],[Last_Price]]</f>
        <v>10456137.200000001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46</v>
      </c>
      <c r="B54" s="47" t="s">
        <v>14</v>
      </c>
      <c r="C54" s="49">
        <v>66.2</v>
      </c>
      <c r="D54" s="37">
        <v>281513</v>
      </c>
      <c r="E54" s="37">
        <v>281513</v>
      </c>
      <c r="F54" s="36">
        <f>Table132[[#This Row],[New position]]-Table132[[#This Row],[Old position]]</f>
        <v>0</v>
      </c>
      <c r="G54" s="37">
        <f>ROUND(Table132[[#This Row],[Target allocation ($)]]/(IF(G80&gt;0, G66,E66)*C18)*100,3)</f>
        <v>6.2140000000000004</v>
      </c>
      <c r="H54" s="42">
        <f>Table132[[#This Row],[New position]]*Table132[[#This Row],[Last_Price]]</f>
        <v>18636160.600000001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42</v>
      </c>
      <c r="B55" s="47" t="s">
        <v>14</v>
      </c>
      <c r="C55" s="49">
        <v>295.83999999999997</v>
      </c>
      <c r="D55" s="37">
        <v>34544</v>
      </c>
      <c r="E55" s="37">
        <v>34544</v>
      </c>
      <c r="F55" s="36">
        <f>Table132[[#This Row],[New position]]-Table132[[#This Row],[Old position]]</f>
        <v>0</v>
      </c>
      <c r="G55" s="37">
        <f>ROUND(Table132[[#This Row],[Target allocation ($)]]/(IF(G80&gt;0, G66,E66)*C18)*100,3)</f>
        <v>3.4079999999999999</v>
      </c>
      <c r="H55" s="42">
        <f>Table132[[#This Row],[New position]]*Table132[[#This Row],[Last_Price]]</f>
        <v>10219496.959999999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43</v>
      </c>
      <c r="B56" s="47" t="s">
        <v>14</v>
      </c>
      <c r="C56" s="49">
        <v>58.81</v>
      </c>
      <c r="D56" s="37">
        <v>171308</v>
      </c>
      <c r="E56" s="37">
        <v>171308</v>
      </c>
      <c r="F56" s="36">
        <f>Table132[[#This Row],[New position]]-Table132[[#This Row],[Old position]]</f>
        <v>0</v>
      </c>
      <c r="G56" s="37">
        <f>ROUND(Table132[[#This Row],[Target allocation ($)]]/(IF(G80&gt;0, G66,E66)*C18)*100,3)</f>
        <v>3.359</v>
      </c>
      <c r="H56" s="42">
        <f>Table132[[#This Row],[New position]]*Table132[[#This Row],[Last_Price]]</f>
        <v>10074623.48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60</v>
      </c>
      <c r="B57" s="47" t="s">
        <v>14</v>
      </c>
      <c r="C57" s="49">
        <v>455.8</v>
      </c>
      <c r="D57" s="37">
        <v>10520</v>
      </c>
      <c r="E57" s="37">
        <v>10520</v>
      </c>
      <c r="F57" s="36">
        <f>Table132[[#This Row],[New position]]-Table132[[#This Row],[Old position]]</f>
        <v>0</v>
      </c>
      <c r="G57" s="37">
        <f>ROUND(Table132[[#This Row],[Target allocation ($)]]/(IF(G80&gt;0, G66,E66)*C18)*100,3)</f>
        <v>1.599</v>
      </c>
      <c r="H57" s="42">
        <f>Table132[[#This Row],[New position]]*Table132[[#This Row],[Last_Price]]</f>
        <v>4795016</v>
      </c>
      <c r="I57" s="58"/>
      <c r="L57" s="53"/>
      <c r="M57"/>
      <c r="N57"/>
      <c r="O57"/>
      <c r="P57"/>
      <c r="Q57"/>
      <c r="R57"/>
    </row>
    <row r="58" spans="1:18" x14ac:dyDescent="0.25">
      <c r="A58" s="47" t="s">
        <v>88</v>
      </c>
      <c r="B58" s="47" t="s">
        <v>14</v>
      </c>
      <c r="C58" s="49">
        <v>61.16</v>
      </c>
      <c r="D58" s="37">
        <v>19097</v>
      </c>
      <c r="E58" s="37">
        <v>19097</v>
      </c>
      <c r="F58" s="36">
        <f>Table132[[#This Row],[New position]]-Table132[[#This Row],[Old position]]</f>
        <v>0</v>
      </c>
      <c r="G58" s="37">
        <f>ROUND(Table132[[#This Row],[Target allocation ($)]]/(IF(G80&gt;0, G66,E66)*C18)*100,3)</f>
        <v>0.38900000000000001</v>
      </c>
      <c r="H58" s="42">
        <f>Table132[[#This Row],[New position]]*Table132[[#This Row],[Last_Price]]</f>
        <v>1167972.52</v>
      </c>
      <c r="I58" s="58"/>
      <c r="L58" s="53"/>
      <c r="M58"/>
      <c r="N58"/>
      <c r="O58"/>
      <c r="P58"/>
      <c r="Q58"/>
      <c r="R58"/>
    </row>
    <row r="59" spans="1:18" x14ac:dyDescent="0.25">
      <c r="A59" s="47" t="s">
        <v>61</v>
      </c>
      <c r="B59" s="47" t="s">
        <v>14</v>
      </c>
      <c r="C59" s="49">
        <v>111.07</v>
      </c>
      <c r="D59" s="37">
        <v>93168</v>
      </c>
      <c r="E59" s="37">
        <v>93168</v>
      </c>
      <c r="F59" s="36">
        <f>Table132[[#This Row],[New position]]-Table132[[#This Row],[Old position]]</f>
        <v>0</v>
      </c>
      <c r="G59" s="37">
        <f>ROUND(Table132[[#This Row],[Target allocation ($)]]/(IF(G80&gt;0, G66,E66)*C18)*100,3)</f>
        <v>3.45</v>
      </c>
      <c r="H59" s="42">
        <f>Table132[[#This Row],[New position]]*Table132[[#This Row],[Last_Price]]</f>
        <v>10348169.76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76</v>
      </c>
      <c r="B60" s="47" t="s">
        <v>14</v>
      </c>
      <c r="C60" s="49">
        <v>36.46</v>
      </c>
      <c r="D60" s="37">
        <v>229000</v>
      </c>
      <c r="E60" s="37">
        <v>229000</v>
      </c>
      <c r="F60" s="36">
        <f>Table132[[#This Row],[New position]]-Table132[[#This Row],[Old position]]</f>
        <v>0</v>
      </c>
      <c r="G60" s="37">
        <f>ROUND(Table132[[#This Row],[Target allocation ($)]]/(IF(G80&gt;0, G66,E66)*C18)*100,3)</f>
        <v>2.7839999999999998</v>
      </c>
      <c r="H60" s="42">
        <f>Table132[[#This Row],[New position]]*Table132[[#This Row],[Last_Price]]</f>
        <v>8349340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62</v>
      </c>
      <c r="B61" s="47" t="s">
        <v>14</v>
      </c>
      <c r="C61" s="49">
        <v>39.549999999999997</v>
      </c>
      <c r="D61" s="37">
        <v>7780</v>
      </c>
      <c r="E61" s="37">
        <v>7780</v>
      </c>
      <c r="F61" s="36">
        <f>Table132[[#This Row],[New position]]-Table132[[#This Row],[Old position]]</f>
        <v>0</v>
      </c>
      <c r="G61" s="37">
        <f>ROUND(Table132[[#This Row],[Target allocation ($)]]/(IF(G80&gt;0, G66,E66)*C18)*100,3)</f>
        <v>0.10299999999999999</v>
      </c>
      <c r="H61" s="42">
        <f>Table132[[#This Row],[New position]]*Table132[[#This Row],[Last_Price]]</f>
        <v>307699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63</v>
      </c>
      <c r="B62" s="47" t="s">
        <v>14</v>
      </c>
      <c r="C62" s="49">
        <v>186.15</v>
      </c>
      <c r="D62" s="37">
        <v>2624</v>
      </c>
      <c r="E62" s="37">
        <v>2624</v>
      </c>
      <c r="F62" s="36">
        <f>Table132[[#This Row],[New position]]-Table132[[#This Row],[Old position]]</f>
        <v>0</v>
      </c>
      <c r="G62" s="37">
        <f>ROUND(Table132[[#This Row],[Target allocation ($)]]/(IF(G80&gt;0, G66,E66)*C18)*100,3)</f>
        <v>0.16300000000000001</v>
      </c>
      <c r="H62" s="42">
        <f>Table132[[#This Row],[New position]]*Table132[[#This Row],[Last_Price]]</f>
        <v>488457.60000000003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65</v>
      </c>
      <c r="B63" s="47" t="s">
        <v>14</v>
      </c>
      <c r="C63" s="49">
        <v>191.5</v>
      </c>
      <c r="D63" s="37">
        <v>54286</v>
      </c>
      <c r="E63" s="37">
        <v>54286</v>
      </c>
      <c r="F63" s="36">
        <f>Table132[[#This Row],[New position]]-Table132[[#This Row],[Old position]]</f>
        <v>0</v>
      </c>
      <c r="G63" s="37">
        <f>ROUND(Table132[[#This Row],[Target allocation ($)]]/(IF(G80&gt;0, G66,E66)*C18)*100,3)</f>
        <v>3.4660000000000002</v>
      </c>
      <c r="H63" s="42">
        <f>Table132[[#This Row],[New position]]*Table132[[#This Row],[Last_Price]]</f>
        <v>10395769</v>
      </c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9"/>
      <c r="D64" s="37"/>
      <c r="E64" s="37"/>
      <c r="F64" s="34"/>
      <c r="G64" s="37"/>
      <c r="H64" s="49"/>
      <c r="I64" s="51"/>
      <c r="L64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59" t="s">
        <v>47</v>
      </c>
      <c r="F65" s="34"/>
      <c r="G65" s="60" t="s">
        <v>48</v>
      </c>
      <c r="H65" s="49"/>
      <c r="I65" s="51"/>
      <c r="L65"/>
      <c r="M65"/>
      <c r="N65"/>
      <c r="O65"/>
      <c r="P65"/>
      <c r="Q65"/>
      <c r="R65"/>
    </row>
    <row r="66" spans="1:18" ht="30" x14ac:dyDescent="0.25">
      <c r="A66" s="47" t="s">
        <v>32</v>
      </c>
      <c r="B66" s="47"/>
      <c r="C66" s="48"/>
      <c r="D66" s="38"/>
      <c r="E66" s="37">
        <f xml:space="preserve"> IF(G80&gt;0, (C19+ABS(G80*G66))/C15, C19/C15)</f>
        <v>5.5</v>
      </c>
      <c r="F66" s="34"/>
      <c r="G66" s="37">
        <v>5.5</v>
      </c>
      <c r="H66" s="49"/>
      <c r="I66" s="51"/>
      <c r="L66"/>
      <c r="M66"/>
      <c r="N66"/>
      <c r="O66"/>
      <c r="P66"/>
      <c r="Q66"/>
      <c r="R66"/>
    </row>
    <row r="67" spans="1:18" ht="15" customHeight="1" x14ac:dyDescent="0.25">
      <c r="A67" s="37" t="s">
        <v>36</v>
      </c>
      <c r="B67" s="37"/>
      <c r="C67" s="37"/>
      <c r="D67" s="50" t="str">
        <f>Table132[[#This Row],[Symbol]]</f>
        <v>SingleStocks</v>
      </c>
      <c r="E67" s="37">
        <f>ROUND(SUM(G22:G33)/100, 3)</f>
        <v>1.7999999999999999E-2</v>
      </c>
      <c r="F67" s="50" t="str">
        <f>Table132[[#This Row],[Symbol]]</f>
        <v>SingleStocks</v>
      </c>
      <c r="G67" s="37">
        <f>SUM(H22:H33)/(G66*C18)</f>
        <v>1.850180865271572E-2</v>
      </c>
      <c r="H67" s="37"/>
      <c r="I67" s="30"/>
      <c r="L67"/>
      <c r="M67"/>
      <c r="N67"/>
      <c r="O67"/>
      <c r="P67"/>
      <c r="Q67"/>
      <c r="R67"/>
    </row>
    <row r="68" spans="1:18" ht="15" customHeight="1" x14ac:dyDescent="0.25">
      <c r="A68" s="47" t="s">
        <v>80</v>
      </c>
      <c r="B68" s="47"/>
      <c r="C68" s="48"/>
      <c r="D68" s="50" t="str">
        <f>Table132[[#This Row],[Symbol]]</f>
        <v>Semiconductor</v>
      </c>
      <c r="E68" s="37">
        <f>ROUND(SUM(G34)/100, 3)</f>
        <v>1.7000000000000001E-2</v>
      </c>
      <c r="F68" s="50" t="str">
        <f>Table132[[#This Row],[Symbol]]</f>
        <v>Semiconductor</v>
      </c>
      <c r="G68" s="37">
        <f>SUM(H34)/(G66*C18)</f>
        <v>1.7372374004487524E-2</v>
      </c>
      <c r="H68" s="49"/>
      <c r="I68" s="57"/>
      <c r="L68"/>
      <c r="M68"/>
      <c r="N68"/>
      <c r="O68"/>
      <c r="P68"/>
      <c r="Q68"/>
      <c r="R68"/>
    </row>
    <row r="69" spans="1:18" ht="15.75" customHeight="1" x14ac:dyDescent="0.25">
      <c r="A69" s="47" t="s">
        <v>81</v>
      </c>
      <c r="B69" s="47"/>
      <c r="C69" s="48"/>
      <c r="D69" s="50" t="str">
        <f>Table132[[#This Row],[Symbol]]</f>
        <v>Small Cap</v>
      </c>
      <c r="E69" s="56">
        <f>ROUND(SUM(G35)/100, 3)</f>
        <v>6.9000000000000006E-2</v>
      </c>
      <c r="F69" s="50" t="str">
        <f>Table132[[#This Row],[Symbol]]</f>
        <v>Small Cap</v>
      </c>
      <c r="G69" s="56">
        <f>SUM(H35)/(G66*C18)</f>
        <v>6.9348514623595661E-2</v>
      </c>
      <c r="H69" s="49"/>
      <c r="I69" s="57"/>
      <c r="L69"/>
      <c r="M69"/>
      <c r="N69"/>
      <c r="O69"/>
      <c r="P69"/>
      <c r="Q69"/>
      <c r="R69"/>
    </row>
    <row r="70" spans="1:18" ht="15.75" customHeight="1" x14ac:dyDescent="0.25">
      <c r="A70" s="47" t="s">
        <v>69</v>
      </c>
      <c r="B70" s="47"/>
      <c r="C70" s="48"/>
      <c r="D70" s="50" t="str">
        <f>Table132[[#This Row],[Symbol]]</f>
        <v>S&amp;P</v>
      </c>
      <c r="E70" s="37">
        <f>ROUND(SUM(G36:G37)/100, 3)</f>
        <v>7.8E-2</v>
      </c>
      <c r="F70" s="50" t="str">
        <f>Table132[[#This Row],[Symbol]]</f>
        <v>S&amp;P</v>
      </c>
      <c r="G70" s="37">
        <f>SUM(H36:H37)/(G66*C18)</f>
        <v>7.8324097580611318E-2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70</v>
      </c>
      <c r="B71" s="47"/>
      <c r="C71" s="48"/>
      <c r="D71" s="50" t="str">
        <f>Table132[[#This Row],[Symbol]]</f>
        <v>Dow Jones</v>
      </c>
      <c r="E71" s="37">
        <f>ROUND(SUM(G38)/100, 3)</f>
        <v>0.02</v>
      </c>
      <c r="F71" s="50" t="str">
        <f>Table132[[#This Row],[Symbol]]</f>
        <v>Dow Jones</v>
      </c>
      <c r="G71" s="37">
        <f>SUM(H38)/(G66*C18)</f>
        <v>1.9724943496519362E-2</v>
      </c>
      <c r="H71" s="49"/>
      <c r="I71" s="57"/>
      <c r="L71"/>
      <c r="M71"/>
      <c r="N71"/>
      <c r="O71"/>
      <c r="P71"/>
      <c r="Q71"/>
      <c r="R71"/>
    </row>
    <row r="72" spans="1:18" ht="14.25" customHeight="1" x14ac:dyDescent="0.25">
      <c r="A72" s="47" t="s">
        <v>79</v>
      </c>
      <c r="B72" s="47"/>
      <c r="C72" s="48"/>
      <c r="D72" s="50" t="str">
        <f>Table132[[#This Row],[Symbol]]</f>
        <v>Int Stocks</v>
      </c>
      <c r="E72" s="37">
        <f>ROUND(SUM(G39:G45)/100, 3)</f>
        <v>0.01</v>
      </c>
      <c r="F72" s="50" t="str">
        <f>Table132[[#This Row],[Symbol]]</f>
        <v>Int Stocks</v>
      </c>
      <c r="G72" s="37">
        <f>SUM(H39:H45)/(G66*C18)</f>
        <v>9.5979101553984193E-3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11</v>
      </c>
      <c r="B73" s="47"/>
      <c r="C73" s="48"/>
      <c r="D73" s="50" t="str">
        <f>Table132[[#This Row],[Symbol]]</f>
        <v>QQQ</v>
      </c>
      <c r="E73" s="56">
        <f>ROUND(SUM(G46:G47)/100, 3)</f>
        <v>0.26300000000000001</v>
      </c>
      <c r="F73" s="50" t="str">
        <f>Table132[[#This Row],[Symbol]]</f>
        <v>QQQ</v>
      </c>
      <c r="G73" s="37">
        <f>SUM(H46:H47)/(G66*C18)</f>
        <v>0.26255293092164783</v>
      </c>
      <c r="H73" s="49"/>
      <c r="I73" s="30"/>
      <c r="L73"/>
      <c r="M73"/>
      <c r="N73"/>
      <c r="O73"/>
      <c r="P73"/>
      <c r="Q73"/>
      <c r="R73"/>
    </row>
    <row r="74" spans="1:18" ht="15.75" customHeight="1" x14ac:dyDescent="0.25">
      <c r="A74" s="63" t="s">
        <v>82</v>
      </c>
      <c r="B74" s="47"/>
      <c r="C74" s="48"/>
      <c r="D74" s="50" t="str">
        <f>Table132[[#This Row],[Symbol]]</f>
        <v>Regional Bank</v>
      </c>
      <c r="E74" s="56">
        <f>ROUND(SUM(G48)/100, 3)</f>
        <v>8.9999999999999993E-3</v>
      </c>
      <c r="F74" s="50" t="str">
        <f>Table132[[#This Row],[Symbol]]</f>
        <v>Regional Bank</v>
      </c>
      <c r="G74" s="56">
        <f>SUM(H48)/(G66*C18)</f>
        <v>8.6832483699433496E-3</v>
      </c>
      <c r="H74" s="49"/>
      <c r="I74" s="30"/>
      <c r="L74"/>
      <c r="M74"/>
      <c r="N74"/>
      <c r="O74"/>
      <c r="P74"/>
      <c r="Q74"/>
      <c r="R74"/>
    </row>
    <row r="75" spans="1:18" ht="14.25" customHeight="1" x14ac:dyDescent="0.25">
      <c r="A75" s="37" t="s">
        <v>27</v>
      </c>
      <c r="B75" s="47"/>
      <c r="C75" s="48"/>
      <c r="D75" s="50" t="str">
        <f>Table132[[#This Row],[Symbol]]</f>
        <v>Bonds</v>
      </c>
      <c r="E75" s="37">
        <f>ROUND(SUM(G51:G60)/100, 3)</f>
        <v>0.317</v>
      </c>
      <c r="F75" s="50" t="str">
        <f>Table132[[#This Row],[Symbol]]</f>
        <v>Bonds</v>
      </c>
      <c r="G75" s="37">
        <f>SUM(H51:H60)/(G66*C18)</f>
        <v>0.31673148371268595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47" t="s">
        <v>38</v>
      </c>
      <c r="B76" s="37"/>
      <c r="C76" s="37"/>
      <c r="D76" s="50" t="str">
        <f>Table132[[#This Row],[Symbol]]</f>
        <v>Gold</v>
      </c>
      <c r="E76" s="37">
        <f>ROUND(SUM(G63)/100,3)</f>
        <v>3.5000000000000003E-2</v>
      </c>
      <c r="F76" s="50" t="str">
        <f>Table132[[#This Row],[Symbol]]</f>
        <v>Gold</v>
      </c>
      <c r="G76" s="37">
        <f>SUM(H63)/(G66*C18)</f>
        <v>3.4663363917579591E-2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0" t="str">
        <f>Table132[[#This Row],[Symbol]]</f>
        <v>Commodities</v>
      </c>
      <c r="E77" s="37">
        <f>ROUND(SUM(G49:G50)/100,3)</f>
        <v>4.0000000000000001E-3</v>
      </c>
      <c r="F77" s="50" t="str">
        <f>Table132[[#This Row],[Symbol]]</f>
        <v>Commodities</v>
      </c>
      <c r="G77" s="37">
        <f>SUM(H49:H50)/(G66*C18)</f>
        <v>4.3682757558680587E-3</v>
      </c>
      <c r="H77" s="37"/>
      <c r="I77" s="32"/>
      <c r="L77"/>
      <c r="M77"/>
      <c r="N77"/>
      <c r="O77"/>
      <c r="P77"/>
      <c r="Q77"/>
      <c r="R77"/>
    </row>
    <row r="78" spans="1:18" ht="14.25" customHeight="1" x14ac:dyDescent="0.25">
      <c r="A78" s="47" t="s">
        <v>37</v>
      </c>
      <c r="B78" s="47"/>
      <c r="C78" s="48"/>
      <c r="D78" s="50" t="str">
        <f>Table132[[#This Row],[Symbol]]</f>
        <v>Crypto</v>
      </c>
      <c r="E78" s="56">
        <f>ROUND(SUM(G61:G62)/100,3)</f>
        <v>3.0000000000000001E-3</v>
      </c>
      <c r="F78" s="50" t="str">
        <f>Table132[[#This Row],[Symbol]]</f>
        <v>Crypto</v>
      </c>
      <c r="G78" s="37">
        <f>SUM(H61:H62)/(G66*C18)</f>
        <v>2.6546824925777835E-3</v>
      </c>
      <c r="H78" s="49"/>
      <c r="I78" s="55"/>
      <c r="L78"/>
      <c r="M78"/>
      <c r="N78"/>
      <c r="O78"/>
      <c r="P78"/>
      <c r="Q78"/>
      <c r="R78"/>
    </row>
    <row r="79" spans="1:18" ht="14.25" customHeight="1" x14ac:dyDescent="0.25">
      <c r="A79" s="37" t="s">
        <v>23</v>
      </c>
      <c r="B79" s="37"/>
      <c r="C79" s="37"/>
      <c r="D79" s="50" t="str">
        <f>Table132[[#This Row],[Symbol]]</f>
        <v>Cash</v>
      </c>
      <c r="E79" s="37">
        <f>1-SUM(E67:E78)</f>
        <v>0.15700000000000003</v>
      </c>
      <c r="F79" s="50" t="str">
        <f>Table132[[#This Row],[Symbol]]</f>
        <v>Cash</v>
      </c>
      <c r="G79" s="37">
        <f>1-SUM(G67:G78)</f>
        <v>0.1574763663163693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C18*E79</f>
        <v>8560968.063000001</v>
      </c>
      <c r="F80" s="34"/>
      <c r="G80" s="37">
        <f>C18*G79</f>
        <v>8586943.5841511246</v>
      </c>
      <c r="H80" s="42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2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3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3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4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2024-01-05T07:53:04Z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