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"/>
    </mc:Choice>
  </mc:AlternateContent>
  <xr:revisionPtr revIDLastSave="2863" documentId="14_{A48F4B07-3EF3-43E5-91B2-4CA340E6013A}" xr6:coauthVersionLast="47" xr6:coauthVersionMax="47" xr10:uidLastSave="{EA75D79B-A0EA-43AC-AE58-89E2502FC151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3" l="1"/>
  <c r="H75" i="3" l="1"/>
  <c r="F75" i="3"/>
  <c r="H41" i="3" l="1"/>
  <c r="F41" i="3"/>
  <c r="H40" i="3"/>
  <c r="F40" i="3"/>
  <c r="D91" i="3" l="1"/>
  <c r="F91" i="3"/>
  <c r="D81" i="3" l="1"/>
  <c r="D82" i="3"/>
  <c r="D83" i="3"/>
  <c r="D84" i="3"/>
  <c r="D85" i="3"/>
  <c r="D86" i="3"/>
  <c r="D87" i="3"/>
  <c r="D88" i="3"/>
  <c r="D89" i="3"/>
  <c r="D90" i="3"/>
  <c r="D92" i="3"/>
  <c r="D93" i="3"/>
  <c r="D94" i="3"/>
  <c r="D95" i="3"/>
  <c r="F81" i="3"/>
  <c r="H73" i="3"/>
  <c r="F73" i="3"/>
  <c r="F72" i="3"/>
  <c r="H37" i="3"/>
  <c r="F37" i="3"/>
  <c r="F38" i="3"/>
  <c r="F39" i="3"/>
  <c r="H38" i="3"/>
  <c r="H39" i="3"/>
  <c r="H62" i="3"/>
  <c r="H61" i="3"/>
  <c r="F62" i="3"/>
  <c r="F36" i="3" l="1"/>
  <c r="H72" i="3"/>
  <c r="H36" i="3"/>
  <c r="F89" i="3"/>
  <c r="H57" i="3"/>
  <c r="H58" i="3"/>
  <c r="F57" i="3"/>
  <c r="F58" i="3"/>
  <c r="H76" i="3"/>
  <c r="F76" i="3"/>
  <c r="H53" i="3" l="1"/>
  <c r="F53" i="3"/>
  <c r="H74" i="3" l="1"/>
  <c r="F74" i="3"/>
  <c r="D80" i="3"/>
  <c r="F86" i="3"/>
  <c r="F84" i="3"/>
  <c r="F83" i="3"/>
  <c r="F82" i="3"/>
  <c r="F80" i="3"/>
  <c r="F88" i="3"/>
  <c r="F51" i="3"/>
  <c r="F59" i="3"/>
  <c r="H67" i="3" l="1"/>
  <c r="F66" i="3"/>
  <c r="F67" i="3"/>
  <c r="F25" i="3"/>
  <c r="H25" i="3"/>
  <c r="F26" i="3"/>
  <c r="H26" i="3"/>
  <c r="H66" i="3" l="1"/>
  <c r="F85" i="3" l="1"/>
  <c r="F87" i="3"/>
  <c r="F90" i="3"/>
  <c r="F92" i="3"/>
  <c r="F93" i="3"/>
  <c r="F94" i="3"/>
  <c r="F95" i="3"/>
  <c r="H71" i="3"/>
  <c r="F71" i="3"/>
  <c r="H47" i="3" l="1"/>
  <c r="H70" i="3"/>
  <c r="F70" i="3" l="1"/>
  <c r="H46" i="3" l="1"/>
  <c r="H48" i="3"/>
  <c r="H49" i="3"/>
  <c r="H50" i="3"/>
  <c r="H56" i="3"/>
  <c r="H51" i="3"/>
  <c r="H59" i="3"/>
  <c r="H54" i="3"/>
  <c r="H55" i="3"/>
  <c r="H52" i="3"/>
  <c r="H60" i="3"/>
  <c r="H63" i="3"/>
  <c r="H64" i="3"/>
  <c r="H65" i="3"/>
  <c r="H68" i="3"/>
  <c r="H69" i="3"/>
  <c r="F46" i="3"/>
  <c r="F47" i="3"/>
  <c r="F48" i="3"/>
  <c r="F49" i="3"/>
  <c r="F50" i="3"/>
  <c r="F56" i="3"/>
  <c r="F54" i="3"/>
  <c r="F55" i="3"/>
  <c r="F52" i="3"/>
  <c r="F60" i="3"/>
  <c r="F63" i="3"/>
  <c r="F64" i="3"/>
  <c r="F65" i="3"/>
  <c r="F68" i="3"/>
  <c r="F69" i="3"/>
  <c r="F32" i="3" l="1"/>
  <c r="F33" i="3"/>
  <c r="F34" i="3"/>
  <c r="F42" i="3"/>
  <c r="F43" i="3"/>
  <c r="F44" i="3"/>
  <c r="F45" i="3"/>
  <c r="H44" i="3"/>
  <c r="H45" i="3"/>
  <c r="H32" i="3" l="1"/>
  <c r="H33" i="3"/>
  <c r="H42" i="3" l="1"/>
  <c r="H43" i="3"/>
  <c r="H30" i="3"/>
  <c r="H31" i="3" l="1"/>
  <c r="H35" i="3" l="1"/>
  <c r="H34" i="3"/>
  <c r="H27" i="3" l="1"/>
  <c r="H28" i="3"/>
  <c r="H29" i="3"/>
  <c r="C22" i="3" l="1" a="1"/>
  <c r="C22" i="3" s="1"/>
  <c r="C12" i="3" s="1"/>
  <c r="F35" i="3"/>
  <c r="F31" i="3"/>
  <c r="F27" i="3" l="1"/>
  <c r="F28" i="3"/>
  <c r="F29" i="3"/>
  <c r="F30" i="3"/>
  <c r="C21" i="3"/>
  <c r="C11" i="3" l="1"/>
  <c r="C16" i="3"/>
  <c r="G94" i="3"/>
  <c r="C17" i="3"/>
  <c r="C14" i="3"/>
  <c r="C15" i="3"/>
  <c r="C13" i="3"/>
  <c r="C4" i="3"/>
  <c r="C3" i="3"/>
  <c r="G86" i="3"/>
  <c r="G82" i="3"/>
  <c r="C5" i="3"/>
  <c r="C9" i="3"/>
  <c r="C10" i="3"/>
  <c r="G90" i="3"/>
  <c r="G91" i="3"/>
  <c r="G81" i="3"/>
  <c r="G80" i="3"/>
  <c r="G93" i="3"/>
  <c r="G92" i="3"/>
  <c r="G89" i="3"/>
  <c r="G88" i="3"/>
  <c r="G87" i="3"/>
  <c r="C7" i="3"/>
  <c r="C6" i="3"/>
  <c r="C8" i="3"/>
  <c r="G85" i="3"/>
  <c r="G84" i="3"/>
  <c r="G83" i="3"/>
  <c r="C2" i="3"/>
  <c r="G95" i="3" l="1"/>
  <c r="G96" i="3" s="1"/>
  <c r="G27" i="3" l="1"/>
  <c r="G74" i="3"/>
  <c r="G75" i="3"/>
  <c r="G62" i="3"/>
  <c r="G76" i="3"/>
  <c r="E92" i="3" s="1"/>
  <c r="G71" i="3"/>
  <c r="E79" i="3"/>
  <c r="G66" i="3"/>
  <c r="G56" i="3"/>
  <c r="E88" i="3" s="1"/>
  <c r="G49" i="3"/>
  <c r="G34" i="3"/>
  <c r="G31" i="3"/>
  <c r="G36" i="3"/>
  <c r="G65" i="3"/>
  <c r="G58" i="3"/>
  <c r="G64" i="3"/>
  <c r="G33" i="3"/>
  <c r="G30" i="3"/>
  <c r="G45" i="3"/>
  <c r="G72" i="3"/>
  <c r="G60" i="3"/>
  <c r="G67" i="3"/>
  <c r="G73" i="3"/>
  <c r="G35" i="3"/>
  <c r="G50" i="3"/>
  <c r="G43" i="3"/>
  <c r="E83" i="3" s="1"/>
  <c r="G57" i="3"/>
  <c r="G68" i="3"/>
  <c r="G42" i="3"/>
  <c r="G39" i="3"/>
  <c r="G25" i="3"/>
  <c r="G53" i="3"/>
  <c r="G55" i="3"/>
  <c r="G61" i="3"/>
  <c r="G63" i="3"/>
  <c r="G37" i="3"/>
  <c r="G52" i="3"/>
  <c r="G47" i="3"/>
  <c r="G44" i="3"/>
  <c r="G59" i="3"/>
  <c r="G28" i="3"/>
  <c r="G32" i="3"/>
  <c r="G48" i="3"/>
  <c r="G46" i="3"/>
  <c r="E85" i="3" s="1"/>
  <c r="G40" i="3"/>
  <c r="G41" i="3"/>
  <c r="G38" i="3"/>
  <c r="G29" i="3"/>
  <c r="G69" i="3"/>
  <c r="G70" i="3"/>
  <c r="G54" i="3"/>
  <c r="G51" i="3"/>
  <c r="G26" i="3"/>
  <c r="E94" i="3" l="1"/>
  <c r="E84" i="3"/>
  <c r="E81" i="3"/>
  <c r="E93" i="3"/>
  <c r="E90" i="3"/>
  <c r="E89" i="3"/>
  <c r="E82" i="3"/>
  <c r="E87" i="3"/>
  <c r="E86" i="3"/>
  <c r="E80" i="3"/>
  <c r="E91" i="3"/>
  <c r="E95" i="3" l="1"/>
  <c r="E96" i="3" s="1"/>
</calcChain>
</file>

<file path=xl/sharedStrings.xml><?xml version="1.0" encoding="utf-8"?>
<sst xmlns="http://schemas.openxmlformats.org/spreadsheetml/2006/main" count="158" uniqueCount="105">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</sst>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7"/>
              <c:layout>
                <c:manualLayout>
                  <c:x val="-3.3441679887968997E-3"/>
                  <c:y val="-3.180214277175078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A6-4F13-B4C3-8BC4FCDDCAC4}"/>
                </c:ext>
              </c:extLst>
            </c:dLbl>
            <c:dLbl>
              <c:idx val="9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5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Sheet1!$D$80:$D$95</c:f>
              <c:strCache>
                <c:ptCount val="16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QQQ</c:v>
                </c:pt>
                <c:pt idx="8">
                  <c:v>Regional Bank</c:v>
                </c:pt>
                <c:pt idx="9">
                  <c:v>Short</c:v>
                </c:pt>
                <c:pt idx="10">
                  <c:v>Bonds</c:v>
                </c:pt>
                <c:pt idx="11">
                  <c:v>Core</c:v>
                </c:pt>
                <c:pt idx="12">
                  <c:v>Gold</c:v>
                </c:pt>
                <c:pt idx="13">
                  <c:v>Commodities</c:v>
                </c:pt>
                <c:pt idx="14">
                  <c:v>Crypto</c:v>
                </c:pt>
                <c:pt idx="15">
                  <c:v>Cash</c:v>
                </c:pt>
              </c:strCache>
            </c:strRef>
          </c:cat>
          <c:val>
            <c:numRef>
              <c:f>Sheet1!$E$80:$E$95</c:f>
              <c:numCache>
                <c:formatCode>General</c:formatCode>
                <c:ptCount val="16"/>
                <c:pt idx="0">
                  <c:v>2.5999999999999999E-2</c:v>
                </c:pt>
                <c:pt idx="1">
                  <c:v>5.8000000000000003E-2</c:v>
                </c:pt>
                <c:pt idx="2">
                  <c:v>1.0999999999999999E-2</c:v>
                </c:pt>
                <c:pt idx="3">
                  <c:v>2.7E-2</c:v>
                </c:pt>
                <c:pt idx="4">
                  <c:v>3.5999999999999997E-2</c:v>
                </c:pt>
                <c:pt idx="5">
                  <c:v>8.9999999999999993E-3</c:v>
                </c:pt>
                <c:pt idx="6">
                  <c:v>1.7999999999999999E-2</c:v>
                </c:pt>
                <c:pt idx="7">
                  <c:v>0.127</c:v>
                </c:pt>
                <c:pt idx="8">
                  <c:v>1.4E-2</c:v>
                </c:pt>
                <c:pt idx="9">
                  <c:v>4.2000000000000003E-2</c:v>
                </c:pt>
                <c:pt idx="10">
                  <c:v>7.3999999999999996E-2</c:v>
                </c:pt>
                <c:pt idx="11">
                  <c:v>0.21099999999999999</c:v>
                </c:pt>
                <c:pt idx="12">
                  <c:v>4.5999999999999999E-2</c:v>
                </c:pt>
                <c:pt idx="13">
                  <c:v>1.2999999999999999E-2</c:v>
                </c:pt>
                <c:pt idx="14">
                  <c:v>0.01</c:v>
                </c:pt>
                <c:pt idx="15">
                  <c:v>0.27799999999999991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9</xdr:row>
      <xdr:rowOff>125737</xdr:rowOff>
    </xdr:from>
    <xdr:to>
      <xdr:col>8</xdr:col>
      <xdr:colOff>2660995</xdr:colOff>
      <xdr:row>13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4:I99" totalsRowShown="0" headerRowDxfId="13" dataDxfId="11" headerRowBorderDxfId="12" tableBorderDxfId="10" totalsRowBorderDxfId="9">
  <autoFilter ref="A24:I99" xr:uid="{00000000-0009-0000-0100-000001000000}"/>
  <sortState xmlns:xlrd2="http://schemas.microsoft.com/office/spreadsheetml/2017/richdata2" ref="A25:I98">
    <sortCondition ref="A24:A9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7"/>
  <sheetViews>
    <sheetView tabSelected="1" topLeftCell="A55" zoomScale="115" zoomScaleNormal="115" workbookViewId="0">
      <selection activeCell="E73" sqref="E73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7" t="s">
        <v>0</v>
      </c>
      <c r="B1" s="67"/>
      <c r="C1" s="12">
        <v>44938</v>
      </c>
      <c r="E1" s="14"/>
      <c r="F1" s="14"/>
      <c r="G1" s="44"/>
      <c r="H1" s="14"/>
    </row>
    <row r="2" spans="1:8" s="13" customFormat="1" x14ac:dyDescent="0.25">
      <c r="A2" s="67" t="s">
        <v>10</v>
      </c>
      <c r="B2" s="67"/>
      <c r="C2" s="15">
        <f>C22/C21</f>
        <v>2.5209560267326614</v>
      </c>
      <c r="D2"/>
      <c r="E2" s="23"/>
      <c r="F2" s="17"/>
      <c r="G2" s="17"/>
      <c r="H2" s="16"/>
    </row>
    <row r="3" spans="1:8" s="13" customFormat="1" x14ac:dyDescent="0.25">
      <c r="A3" s="69" t="s">
        <v>40</v>
      </c>
      <c r="B3" s="70"/>
      <c r="C3" s="15">
        <f>SUM(H25:H33)/C21</f>
        <v>7.668660985408364E-2</v>
      </c>
      <c r="D3"/>
      <c r="E3" s="23"/>
      <c r="F3" s="17"/>
      <c r="G3" s="17"/>
      <c r="H3" s="16"/>
    </row>
    <row r="4" spans="1:8" s="13" customFormat="1" x14ac:dyDescent="0.25">
      <c r="A4" s="59" t="s">
        <v>97</v>
      </c>
      <c r="B4" s="60"/>
      <c r="C4" s="15">
        <f>SUM(H34:H39)/C21</f>
        <v>0.21666286939659915</v>
      </c>
      <c r="D4"/>
      <c r="E4" s="23"/>
      <c r="F4" s="17"/>
      <c r="G4" s="17"/>
      <c r="H4" s="16"/>
    </row>
    <row r="5" spans="1:8" s="13" customFormat="1" x14ac:dyDescent="0.25">
      <c r="A5" s="59" t="s">
        <v>72</v>
      </c>
      <c r="B5" s="60"/>
      <c r="C5" s="15">
        <f>SUM(H40:H42)/C21</f>
        <v>3.9342755148944114E-2</v>
      </c>
      <c r="D5"/>
      <c r="E5" s="23"/>
      <c r="F5" s="17"/>
      <c r="G5" s="17"/>
      <c r="H5" s="16"/>
    </row>
    <row r="6" spans="1:8" s="13" customFormat="1" x14ac:dyDescent="0.25">
      <c r="A6" s="69" t="s">
        <v>68</v>
      </c>
      <c r="B6" s="70"/>
      <c r="C6" s="15">
        <f>SUM(H43)/C21</f>
        <v>9.46276344269458E-2</v>
      </c>
      <c r="D6"/>
      <c r="E6" s="23"/>
      <c r="F6" s="17"/>
      <c r="G6" s="17"/>
      <c r="H6" s="16"/>
    </row>
    <row r="7" spans="1:8" s="13" customFormat="1" x14ac:dyDescent="0.25">
      <c r="A7" s="59" t="s">
        <v>64</v>
      </c>
      <c r="B7" s="60"/>
      <c r="C7" s="15">
        <f>SUM(H44:H45)/C21</f>
        <v>0.12523586742370571</v>
      </c>
      <c r="D7"/>
      <c r="E7" s="23"/>
      <c r="F7" s="17"/>
      <c r="G7" s="17"/>
      <c r="H7" s="16"/>
    </row>
    <row r="8" spans="1:8" s="13" customFormat="1" x14ac:dyDescent="0.25">
      <c r="A8" s="59" t="s">
        <v>69</v>
      </c>
      <c r="B8" s="60"/>
      <c r="C8" s="15">
        <f>SUM(H46)/C21</f>
        <v>3.1842336614456269E-2</v>
      </c>
      <c r="D8"/>
      <c r="E8" s="23"/>
      <c r="F8" s="17"/>
      <c r="G8" s="17"/>
      <c r="H8" s="16"/>
    </row>
    <row r="9" spans="1:8" s="13" customFormat="1" x14ac:dyDescent="0.25">
      <c r="A9" s="69" t="s">
        <v>44</v>
      </c>
      <c r="B9" s="70"/>
      <c r="C9" s="15">
        <f>SUM(H47:H53)/C21</f>
        <v>6.3879460433408725E-2</v>
      </c>
      <c r="D9"/>
      <c r="E9" s="23"/>
      <c r="F9" s="17"/>
      <c r="G9" s="17"/>
      <c r="H9" s="16"/>
    </row>
    <row r="10" spans="1:8" s="13" customFormat="1" x14ac:dyDescent="0.25">
      <c r="A10" s="69" t="s">
        <v>30</v>
      </c>
      <c r="B10" s="70"/>
      <c r="C10" s="15">
        <f>SUM(H54:H55)/C21</f>
        <v>0.44161021425979752</v>
      </c>
      <c r="D10"/>
      <c r="E10" s="23"/>
      <c r="F10" s="17"/>
      <c r="G10" s="17"/>
      <c r="H10" s="16"/>
    </row>
    <row r="11" spans="1:8" s="13" customFormat="1" x14ac:dyDescent="0.25">
      <c r="A11" s="59" t="s">
        <v>99</v>
      </c>
      <c r="B11" s="60"/>
      <c r="C11" s="15">
        <f>SUM(H57:H58)/C21</f>
        <v>0.14651019612348462</v>
      </c>
      <c r="D11"/>
      <c r="E11" s="23"/>
      <c r="F11" s="17"/>
      <c r="G11" s="17"/>
      <c r="H11" s="16"/>
    </row>
    <row r="12" spans="1:8" s="13" customFormat="1" x14ac:dyDescent="0.25">
      <c r="A12" s="59" t="s">
        <v>80</v>
      </c>
      <c r="B12" s="60"/>
      <c r="C12" s="15">
        <f>SUM(H56)/C22</f>
        <v>1.9792394412855893E-2</v>
      </c>
      <c r="D12"/>
      <c r="E12" s="23"/>
      <c r="F12" s="17"/>
      <c r="G12" s="17"/>
      <c r="H12" s="16"/>
    </row>
    <row r="13" spans="1:8" s="13" customFormat="1" x14ac:dyDescent="0.25">
      <c r="A13" s="69" t="s">
        <v>25</v>
      </c>
      <c r="B13" s="70"/>
      <c r="C13" s="15">
        <f>SUM(H63:H67)/C21</f>
        <v>0.25851528287863845</v>
      </c>
      <c r="D13"/>
      <c r="E13" s="23"/>
      <c r="F13" s="17"/>
      <c r="G13" s="17"/>
      <c r="H13" s="16"/>
    </row>
    <row r="14" spans="1:8" s="13" customFormat="1" x14ac:dyDescent="0.25">
      <c r="A14" s="59" t="s">
        <v>101</v>
      </c>
      <c r="B14" s="60"/>
      <c r="C14" s="15">
        <f>SUM(H68:H73)/C21</f>
        <v>0.73666057582106703</v>
      </c>
      <c r="D14"/>
      <c r="E14" s="23"/>
      <c r="F14" s="17"/>
      <c r="G14" s="17"/>
      <c r="H14" s="16"/>
    </row>
    <row r="15" spans="1:8" s="13" customFormat="1" x14ac:dyDescent="0.25">
      <c r="A15" s="69" t="s">
        <v>26</v>
      </c>
      <c r="B15" s="70"/>
      <c r="C15" s="15">
        <f>SUM(H59:H62)/C21</f>
        <v>4.4202184339175075E-2</v>
      </c>
      <c r="D15"/>
      <c r="E15" s="23"/>
      <c r="F15" s="17"/>
      <c r="G15" s="17"/>
      <c r="H15" s="16"/>
    </row>
    <row r="16" spans="1:8" s="13" customFormat="1" x14ac:dyDescent="0.25">
      <c r="A16" s="69" t="s">
        <v>41</v>
      </c>
      <c r="B16" s="70"/>
      <c r="C16" s="15">
        <f>SUM(H76)/C21</f>
        <v>0.15924068896716065</v>
      </c>
      <c r="D16"/>
      <c r="E16" s="23"/>
      <c r="F16" s="17"/>
      <c r="G16" s="17"/>
      <c r="H16" s="16"/>
    </row>
    <row r="17" spans="1:17" s="13" customFormat="1" ht="27.75" customHeight="1" x14ac:dyDescent="0.25">
      <c r="A17" s="68" t="s">
        <v>39</v>
      </c>
      <c r="B17" s="68"/>
      <c r="C17" s="15">
        <f>SUM(H74:H75)/C21</f>
        <v>3.6043595066635202E-2</v>
      </c>
      <c r="D17" s="22"/>
      <c r="E17" s="16"/>
      <c r="F17" s="17"/>
      <c r="G17" s="17"/>
      <c r="H17" s="16"/>
    </row>
    <row r="18" spans="1:17" s="13" customFormat="1" ht="12.75" x14ac:dyDescent="0.25">
      <c r="A18" s="67" t="s">
        <v>8</v>
      </c>
      <c r="B18" s="67"/>
      <c r="C18" s="18">
        <v>45880329</v>
      </c>
      <c r="D18" s="24"/>
      <c r="E18" s="17"/>
      <c r="F18" s="17"/>
      <c r="G18" s="17"/>
      <c r="H18" s="16"/>
    </row>
    <row r="19" spans="1:17" s="13" customFormat="1" ht="12.75" x14ac:dyDescent="0.25">
      <c r="A19" s="67" t="s">
        <v>6</v>
      </c>
      <c r="B19" s="67"/>
      <c r="C19" s="18">
        <v>0</v>
      </c>
      <c r="F19" s="17"/>
      <c r="H19" s="37"/>
    </row>
    <row r="20" spans="1:17" s="13" customFormat="1" ht="12.75" x14ac:dyDescent="0.25">
      <c r="A20" s="67" t="s">
        <v>7</v>
      </c>
      <c r="B20" s="67"/>
      <c r="C20" s="18">
        <v>0</v>
      </c>
      <c r="D20" s="21"/>
      <c r="E20" s="17"/>
      <c r="F20" s="17"/>
      <c r="G20" s="17"/>
      <c r="H20" s="16"/>
    </row>
    <row r="21" spans="1:17" s="13" customFormat="1" ht="12.75" x14ac:dyDescent="0.25">
      <c r="A21" s="67" t="s">
        <v>9</v>
      </c>
      <c r="B21" s="67"/>
      <c r="C21" s="18">
        <f>C18+C19-C20</f>
        <v>45880329</v>
      </c>
      <c r="D21" s="21"/>
      <c r="E21" s="17"/>
      <c r="F21" s="17"/>
      <c r="G21" s="17"/>
      <c r="H21" s="16"/>
    </row>
    <row r="22" spans="1:17" s="13" customFormat="1" ht="27.75" customHeight="1" x14ac:dyDescent="0.25">
      <c r="A22" s="68" t="s">
        <v>5</v>
      </c>
      <c r="B22" s="68"/>
      <c r="C22" s="11">
        <f t="array" ref="C22">SUM(ABS(Table132[Target allocation ($)]))</f>
        <v>115662291.90102729</v>
      </c>
      <c r="D22" s="21" t="s">
        <v>22</v>
      </c>
      <c r="E22" s="17"/>
      <c r="F22" s="17"/>
      <c r="G22" s="17"/>
      <c r="H22" s="16"/>
    </row>
    <row r="23" spans="1:17" s="8" customFormat="1" ht="2.25" customHeight="1" x14ac:dyDescent="0.2">
      <c r="A23" s="6"/>
      <c r="B23" s="6"/>
      <c r="C23" s="4"/>
      <c r="D23" s="1"/>
      <c r="E23" s="1"/>
      <c r="F23" s="1"/>
      <c r="G23" s="1"/>
      <c r="H23" s="38"/>
      <c r="I23" s="1"/>
    </row>
    <row r="24" spans="1:17" s="2" customFormat="1" ht="12.75" x14ac:dyDescent="0.25">
      <c r="A24" s="7" t="s">
        <v>12</v>
      </c>
      <c r="B24" s="7" t="s">
        <v>13</v>
      </c>
      <c r="C24" s="7" t="s">
        <v>15</v>
      </c>
      <c r="D24" s="7" t="s">
        <v>16</v>
      </c>
      <c r="E24" s="7" t="s">
        <v>17</v>
      </c>
      <c r="F24" s="9" t="s">
        <v>4</v>
      </c>
      <c r="G24" s="7" t="s">
        <v>18</v>
      </c>
      <c r="H24" s="39" t="s">
        <v>19</v>
      </c>
      <c r="I24" s="10" t="s">
        <v>1</v>
      </c>
    </row>
    <row r="25" spans="1:17" x14ac:dyDescent="0.25">
      <c r="A25" s="35" t="s">
        <v>31</v>
      </c>
      <c r="B25" s="35" t="s">
        <v>14</v>
      </c>
      <c r="C25" s="47">
        <v>43.27</v>
      </c>
      <c r="D25" s="35">
        <v>9528</v>
      </c>
      <c r="E25" s="35">
        <v>9528</v>
      </c>
      <c r="F25" s="34">
        <f>Table132[[#This Row],[New position]]-Table132[[#This Row],[Old position]]</f>
        <v>0</v>
      </c>
      <c r="G25" s="35">
        <f>ROUND(Table132[[#This Row],[Target allocation ($)]]/(IF(G96&gt;0, G79,E79)*C21)*100,3)</f>
        <v>0.25800000000000001</v>
      </c>
      <c r="H25" s="40">
        <f>Table132[[#This Row],[New position]]*Table132[[#This Row],[Last_Price]]</f>
        <v>412276.56000000006</v>
      </c>
      <c r="I25" s="28"/>
      <c r="K25"/>
      <c r="L25"/>
      <c r="M25"/>
      <c r="N25"/>
      <c r="O25"/>
      <c r="P25"/>
      <c r="Q25"/>
    </row>
    <row r="26" spans="1:17" x14ac:dyDescent="0.25">
      <c r="A26" s="35" t="s">
        <v>50</v>
      </c>
      <c r="B26" s="35" t="s">
        <v>14</v>
      </c>
      <c r="C26" s="47">
        <v>185.17</v>
      </c>
      <c r="D26" s="35">
        <v>2129</v>
      </c>
      <c r="E26" s="35">
        <v>2129</v>
      </c>
      <c r="F26" s="34">
        <f>Table132[[#This Row],[New position]]-Table132[[#This Row],[Old position]]</f>
        <v>0</v>
      </c>
      <c r="G26" s="35">
        <f>ROUND(Table132[[#This Row],[Target allocation ($)]]/(IF(G96&gt;0, G79,E79)*C21)*100,3)</f>
        <v>0.246</v>
      </c>
      <c r="H26" s="40">
        <f>Table132[[#This Row],[New position]]*Table132[[#This Row],[Last_Price]]</f>
        <v>394226.93</v>
      </c>
      <c r="I26" s="50"/>
      <c r="L26"/>
      <c r="M26"/>
      <c r="N26"/>
      <c r="O26"/>
      <c r="P26"/>
      <c r="Q26"/>
    </row>
    <row r="27" spans="1:17" x14ac:dyDescent="0.25">
      <c r="A27" s="35" t="s">
        <v>51</v>
      </c>
      <c r="B27" s="35" t="s">
        <v>14</v>
      </c>
      <c r="C27" s="47">
        <v>383.3</v>
      </c>
      <c r="D27" s="35">
        <v>1077</v>
      </c>
      <c r="E27" s="35">
        <v>1077</v>
      </c>
      <c r="F27" s="34">
        <f>Table132[[#This Row],[New position]]-Table132[[#This Row],[Old position]]</f>
        <v>0</v>
      </c>
      <c r="G27" s="35">
        <f>ROUND(Table132[[#This Row],[Target allocation ($)]]/(IF(G96&gt;0, G79,E79)*C21)*100,3)</f>
        <v>0.25800000000000001</v>
      </c>
      <c r="H27" s="40">
        <f>Table132[[#This Row],[New position]]*Table132[[#This Row],[Last_Price]]</f>
        <v>412814.10000000003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52</v>
      </c>
      <c r="B28" s="35" t="s">
        <v>14</v>
      </c>
      <c r="C28" s="47">
        <v>141.31</v>
      </c>
      <c r="D28" s="35">
        <v>2958</v>
      </c>
      <c r="E28" s="35">
        <v>2958</v>
      </c>
      <c r="F28" s="34">
        <f>Table132[[#This Row],[New position]]-Table132[[#This Row],[Old position]]</f>
        <v>0</v>
      </c>
      <c r="G28" s="35">
        <f>ROUND(Table132[[#This Row],[Target allocation ($)]]/(IF(G96&gt;0, G79,E79)*C21)*100,3)</f>
        <v>0.26100000000000001</v>
      </c>
      <c r="H28" s="40">
        <f>Table132[[#This Row],[New position]]*Table132[[#This Row],[Last_Price]]</f>
        <v>417994.98</v>
      </c>
      <c r="I28" s="26"/>
      <c r="K28"/>
      <c r="L28"/>
      <c r="M28"/>
      <c r="N28"/>
      <c r="O28"/>
      <c r="P28"/>
      <c r="Q28"/>
    </row>
    <row r="29" spans="1:17" x14ac:dyDescent="0.25">
      <c r="A29" s="35" t="s">
        <v>53</v>
      </c>
      <c r="B29" s="35" t="s">
        <v>14</v>
      </c>
      <c r="C29" s="47">
        <v>41.66</v>
      </c>
      <c r="D29" s="35">
        <v>5067</v>
      </c>
      <c r="E29" s="35">
        <v>5067</v>
      </c>
      <c r="F29" s="34">
        <f>Table132[[#This Row],[New position]]-Table132[[#This Row],[Old position]]</f>
        <v>0</v>
      </c>
      <c r="G29" s="35">
        <f>ROUND(Table132[[#This Row],[Target allocation ($)]]/(IF(G96&gt;0, G79,E79)*C21)*100,3)</f>
        <v>0.13200000000000001</v>
      </c>
      <c r="H29" s="40">
        <f>Table132[[#This Row],[New position]]*Table132[[#This Row],[Last_Price]]</f>
        <v>211091.21999999997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55</v>
      </c>
      <c r="B30" s="35" t="s">
        <v>14</v>
      </c>
      <c r="C30" s="47">
        <v>375.16</v>
      </c>
      <c r="D30" s="35">
        <v>1531</v>
      </c>
      <c r="E30" s="35">
        <v>1531</v>
      </c>
      <c r="F30" s="34">
        <f>Table132[[#This Row],[New position]]-Table132[[#This Row],[Old position]]</f>
        <v>0</v>
      </c>
      <c r="G30" s="35">
        <f>ROUND(Table132[[#This Row],[Target allocation ($)]]/(IF(G96&gt;0, G79,E79)*C21)*100,3)</f>
        <v>0.35899999999999999</v>
      </c>
      <c r="H30" s="40">
        <f>Table132[[#This Row],[New position]]*Table132[[#This Row],[Last_Price]]</f>
        <v>574369.96000000008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56</v>
      </c>
      <c r="B31" s="35" t="s">
        <v>14</v>
      </c>
      <c r="C31" s="47">
        <v>356.53</v>
      </c>
      <c r="D31" s="35">
        <v>994</v>
      </c>
      <c r="E31" s="35">
        <v>994</v>
      </c>
      <c r="F31" s="34">
        <f>Table132[[#This Row],[New position]]-Table132[[#This Row],[Old position]]</f>
        <v>0</v>
      </c>
      <c r="G31" s="35">
        <f>ROUND(Table132[[#This Row],[Target allocation ($)]]/(IF(G96&gt;0, G79,E79)*C21)*100,3)</f>
        <v>0.221</v>
      </c>
      <c r="H31" s="40">
        <f>Table132[[#This Row],[New position]]*Table132[[#This Row],[Last_Price]]</f>
        <v>354390.81999999995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57</v>
      </c>
      <c r="B32" s="35" t="s">
        <v>14</v>
      </c>
      <c r="C32" s="47">
        <v>129.22</v>
      </c>
      <c r="D32" s="35">
        <v>3304</v>
      </c>
      <c r="E32" s="35">
        <v>3304</v>
      </c>
      <c r="F32" s="34">
        <f>Table132[[#This Row],[New position]]-Table132[[#This Row],[Old position]]</f>
        <v>0</v>
      </c>
      <c r="G32" s="35">
        <f>ROUND(Table132[[#This Row],[Target allocation ($)]]/(IF(G96&gt;0, G79,E79)*C21)*100,3)</f>
        <v>0.26700000000000002</v>
      </c>
      <c r="H32" s="40">
        <f>Table132[[#This Row],[New position]]*Table132[[#This Row],[Last_Price]]</f>
        <v>426942.88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61</v>
      </c>
      <c r="B33" s="35" t="s">
        <v>14</v>
      </c>
      <c r="C33" s="47">
        <v>154.97999999999999</v>
      </c>
      <c r="D33" s="35">
        <v>2028</v>
      </c>
      <c r="E33" s="35">
        <v>2028</v>
      </c>
      <c r="F33" s="34">
        <f>Table132[[#This Row],[New position]]-Table132[[#This Row],[Old position]]</f>
        <v>0</v>
      </c>
      <c r="G33" s="35">
        <f>ROUND(Table132[[#This Row],[Target allocation ($)]]/(IF(G96&gt;0, G79,E79)*C21)*100,3)</f>
        <v>0.19600000000000001</v>
      </c>
      <c r="H33" s="40">
        <f>Table132[[#This Row],[New position]]*Table132[[#This Row],[Last_Price]]</f>
        <v>314299.44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54</v>
      </c>
      <c r="B34" s="35" t="s">
        <v>14</v>
      </c>
      <c r="C34" s="47">
        <v>635.72</v>
      </c>
      <c r="D34" s="35">
        <v>914</v>
      </c>
      <c r="E34" s="35">
        <v>914</v>
      </c>
      <c r="F34" s="34">
        <f>Table132[[#This Row],[New position]]-Table132[[#This Row],[Old position]]</f>
        <v>0</v>
      </c>
      <c r="G34" s="35">
        <f>ROUND(Table132[[#This Row],[Target allocation ($)]]/(IF(G96&gt;0, G79,E79)*C21)*100,3)</f>
        <v>0.36299999999999999</v>
      </c>
      <c r="H34" s="40">
        <f>Table132[[#This Row],[New position]]*Table132[[#This Row],[Last_Price]]</f>
        <v>581048.08000000007</v>
      </c>
      <c r="I34" s="28"/>
      <c r="K34"/>
      <c r="L34"/>
      <c r="M34"/>
      <c r="N34"/>
      <c r="O34"/>
      <c r="P34"/>
      <c r="Q34"/>
    </row>
    <row r="35" spans="1:17" x14ac:dyDescent="0.25">
      <c r="A35" s="35" t="s">
        <v>63</v>
      </c>
      <c r="B35" s="35" t="s">
        <v>14</v>
      </c>
      <c r="C35" s="47">
        <v>118.38</v>
      </c>
      <c r="D35" s="35">
        <v>2460</v>
      </c>
      <c r="E35" s="35">
        <v>2460</v>
      </c>
      <c r="F35" s="34">
        <f>Table132[[#This Row],[New position]]-Table132[[#This Row],[Old position]]</f>
        <v>0</v>
      </c>
      <c r="G35" s="35">
        <f>ROUND(Table132[[#This Row],[Target allocation ($)]]/(IF(G96&gt;0, G79,E79)*C21)*100,3)</f>
        <v>0.182</v>
      </c>
      <c r="H35" s="40">
        <f>Table132[[#This Row],[New position]]*Table132[[#This Row],[Last_Price]]</f>
        <v>291214.8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89</v>
      </c>
      <c r="B36" s="35" t="s">
        <v>14</v>
      </c>
      <c r="C36" s="47">
        <v>106.97</v>
      </c>
      <c r="D36" s="35">
        <v>43100</v>
      </c>
      <c r="E36" s="35">
        <v>43100</v>
      </c>
      <c r="F36" s="34">
        <f>Table132[[#This Row],[New position]]-Table132[[#This Row],[Old position]]</f>
        <v>0</v>
      </c>
      <c r="G36" s="35">
        <f>ROUND(Table132[[#This Row],[Target allocation ($)]]/(IF(G96&gt;0, G79,E79)*C21)*100,3)</f>
        <v>2.8809999999999998</v>
      </c>
      <c r="H36" s="40">
        <f>Table132[[#This Row],[New position]]*Table132[[#This Row],[Last_Price]]</f>
        <v>4610407</v>
      </c>
      <c r="I36" s="64"/>
      <c r="K36"/>
      <c r="L36"/>
      <c r="M36"/>
      <c r="N36"/>
      <c r="O36"/>
      <c r="P36"/>
      <c r="Q36"/>
    </row>
    <row r="37" spans="1:17" x14ac:dyDescent="0.25">
      <c r="A37" s="45" t="s">
        <v>93</v>
      </c>
      <c r="B37" s="35" t="s">
        <v>14</v>
      </c>
      <c r="C37" s="47">
        <v>105.73</v>
      </c>
      <c r="D37" s="35">
        <v>14398</v>
      </c>
      <c r="E37" s="35">
        <v>14398</v>
      </c>
      <c r="F37" s="32">
        <f>Table132[[#This Row],[New position]]-Table132[[#This Row],[Old position]]</f>
        <v>0</v>
      </c>
      <c r="G37" s="35">
        <f>ROUND(Table132[[#This Row],[Target allocation ($)]]/(IF(G96&gt;0, G79,E79)*C21)*100,3)</f>
        <v>0.95099999999999996</v>
      </c>
      <c r="H37" s="40">
        <f>Table132[[#This Row],[New position]]*Table132[[#This Row],[Last_Price]]</f>
        <v>1522300.54</v>
      </c>
      <c r="I37" s="64"/>
      <c r="K37"/>
      <c r="L37"/>
      <c r="M37"/>
      <c r="N37"/>
      <c r="O37"/>
      <c r="P37"/>
      <c r="Q37"/>
    </row>
    <row r="38" spans="1:17" x14ac:dyDescent="0.25">
      <c r="A38" s="45" t="s">
        <v>94</v>
      </c>
      <c r="B38" s="35" t="s">
        <v>14</v>
      </c>
      <c r="C38" s="47">
        <v>161.15</v>
      </c>
      <c r="D38" s="35">
        <v>9411</v>
      </c>
      <c r="E38" s="35">
        <v>9411</v>
      </c>
      <c r="F38" s="34">
        <f>Table132[[#This Row],[New position]]-Table132[[#This Row],[Old position]]</f>
        <v>0</v>
      </c>
      <c r="G38" s="35">
        <f>ROUND(Table132[[#This Row],[Target allocation ($)]]/(IF(G96&gt;0, G79,E79)*C21)*100,3)</f>
        <v>0.94799999999999995</v>
      </c>
      <c r="H38" s="40">
        <f>Table132[[#This Row],[New position]]*Table132[[#This Row],[Last_Price]]</f>
        <v>1516582.6500000001</v>
      </c>
      <c r="I38" s="64"/>
      <c r="K38"/>
      <c r="L38"/>
      <c r="M38"/>
      <c r="N38"/>
      <c r="O38"/>
      <c r="P38"/>
      <c r="Q38"/>
    </row>
    <row r="39" spans="1:17" x14ac:dyDescent="0.25">
      <c r="A39" s="45" t="s">
        <v>95</v>
      </c>
      <c r="B39" s="35" t="s">
        <v>14</v>
      </c>
      <c r="C39" s="47">
        <v>28.37</v>
      </c>
      <c r="D39" s="35">
        <v>50018</v>
      </c>
      <c r="E39" s="35">
        <v>50018</v>
      </c>
      <c r="F39" s="34">
        <f>Table132[[#This Row],[New position]]-Table132[[#This Row],[Old position]]</f>
        <v>0</v>
      </c>
      <c r="G39" s="35">
        <f>ROUND(Table132[[#This Row],[Target allocation ($)]]/(IF(G96&gt;0, G79,E79)*C21)*100,3)</f>
        <v>0.88700000000000001</v>
      </c>
      <c r="H39" s="40">
        <f>Table132[[#This Row],[New position]]*Table132[[#This Row],[Last_Price]]</f>
        <v>1419010.6600000001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102</v>
      </c>
      <c r="B40" s="45" t="s">
        <v>14</v>
      </c>
      <c r="C40" s="47">
        <v>61.53</v>
      </c>
      <c r="D40" s="35">
        <v>3791</v>
      </c>
      <c r="E40" s="35">
        <v>3791</v>
      </c>
      <c r="F40" s="34">
        <f>Table132[[#This Row],[New position]]-Table132[[#This Row],[Old position]]</f>
        <v>0</v>
      </c>
      <c r="G40" s="35">
        <f>ROUND(Table132[[#This Row],[Target allocation ($)]]/(IF(G96&gt;0, G79,E79)*C21)*100,3)</f>
        <v>0.14599999999999999</v>
      </c>
      <c r="H40" s="40">
        <f>Table132[[#This Row],[New position]]*Table132[[#This Row],[Last_Price]]</f>
        <v>233260.23</v>
      </c>
      <c r="I40" s="66"/>
      <c r="K40" s="51"/>
      <c r="L40"/>
      <c r="M40"/>
      <c r="N40"/>
      <c r="O40"/>
      <c r="P40"/>
      <c r="Q40"/>
    </row>
    <row r="41" spans="1:17" x14ac:dyDescent="0.25">
      <c r="A41" s="45" t="s">
        <v>103</v>
      </c>
      <c r="B41" s="45" t="s">
        <v>14</v>
      </c>
      <c r="C41" s="47">
        <v>173.24</v>
      </c>
      <c r="D41" s="35">
        <v>2600</v>
      </c>
      <c r="E41" s="35">
        <v>2600</v>
      </c>
      <c r="F41" s="34">
        <f>ROUND(Table132[[#This Row],[New position]]-Table132[[#This Row],[Old position]], -2)</f>
        <v>0</v>
      </c>
      <c r="G41" s="35">
        <f>ROUND(Table132[[#This Row],[Target allocation ($)]]/(IF(G96&gt;0, G79,E79)*C21)*100,3)</f>
        <v>0.28100000000000003</v>
      </c>
      <c r="H41" s="40">
        <f>Table132[[#This Row],[New position]]*Table132[[#This Row],[Last_Price]]</f>
        <v>450424</v>
      </c>
      <c r="I41" s="66"/>
      <c r="K41" s="51"/>
      <c r="L41"/>
      <c r="M41"/>
      <c r="N41"/>
      <c r="O41"/>
      <c r="P41"/>
      <c r="Q41"/>
    </row>
    <row r="42" spans="1:17" x14ac:dyDescent="0.25">
      <c r="A42" s="35" t="s">
        <v>71</v>
      </c>
      <c r="B42" s="35" t="s">
        <v>14</v>
      </c>
      <c r="C42" s="47">
        <v>28.13</v>
      </c>
      <c r="D42" s="35">
        <v>39864</v>
      </c>
      <c r="E42" s="35">
        <v>39864</v>
      </c>
      <c r="F42" s="34">
        <f>Table132[[#This Row],[New position]]-Table132[[#This Row],[Old position]]</f>
        <v>0</v>
      </c>
      <c r="G42" s="35">
        <f>ROUND(Table132[[#This Row],[Target allocation ($)]]/(IF(G96&gt;0, G79,E79)*C21)*100,3)</f>
        <v>0.70099999999999996</v>
      </c>
      <c r="H42" s="40">
        <f>Table132[[#This Row],[New position]]*Table132[[#This Row],[Last_Price]]</f>
        <v>1121374.32</v>
      </c>
      <c r="I42" s="52"/>
      <c r="K42" s="51"/>
      <c r="L42"/>
      <c r="M42"/>
      <c r="N42"/>
      <c r="O42"/>
      <c r="P42"/>
      <c r="Q42"/>
    </row>
    <row r="43" spans="1:17" x14ac:dyDescent="0.25">
      <c r="A43" s="35" t="s">
        <v>70</v>
      </c>
      <c r="B43" s="35" t="s">
        <v>14</v>
      </c>
      <c r="C43" s="47">
        <v>35.14</v>
      </c>
      <c r="D43" s="35">
        <v>123550</v>
      </c>
      <c r="E43" s="35">
        <v>123550</v>
      </c>
      <c r="F43" s="34">
        <f>Table132[[#This Row],[New position]]-Table132[[#This Row],[Old position]]</f>
        <v>0</v>
      </c>
      <c r="G43" s="35">
        <f>ROUND(Table132[[#This Row],[Target allocation ($)]]/(IF(G96&gt;0, G79,E79)*C21)*100,3)</f>
        <v>2.7130000000000001</v>
      </c>
      <c r="H43" s="40">
        <f>Table132[[#This Row],[New position]]*Table132[[#This Row],[Last_Price]]</f>
        <v>4341547</v>
      </c>
      <c r="I43" s="56"/>
      <c r="K43" s="51"/>
      <c r="L43"/>
      <c r="M43"/>
      <c r="N43"/>
      <c r="O43"/>
      <c r="P43"/>
      <c r="Q43"/>
    </row>
    <row r="44" spans="1:17" x14ac:dyDescent="0.25">
      <c r="A44" s="35" t="s">
        <v>48</v>
      </c>
      <c r="B44" s="35" t="s">
        <v>14</v>
      </c>
      <c r="C44" s="47">
        <v>54.6</v>
      </c>
      <c r="D44" s="35">
        <v>62673</v>
      </c>
      <c r="E44" s="35">
        <v>62673</v>
      </c>
      <c r="F44" s="34">
        <f>Table132[[#This Row],[New position]]-Table132[[#This Row],[Old position]]</f>
        <v>0</v>
      </c>
      <c r="G44" s="35">
        <f>ROUND(Table132[[#This Row],[Target allocation ($)]]/(IF(G96&gt;0, G79,E79)*C21)*100,3)</f>
        <v>2.1379999999999999</v>
      </c>
      <c r="H44" s="40">
        <f>Table132[[#This Row],[New position]]*Table132[[#This Row],[Last_Price]]</f>
        <v>3421945.8000000003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49</v>
      </c>
      <c r="B45" s="45" t="s">
        <v>14</v>
      </c>
      <c r="C45" s="47">
        <v>103.7</v>
      </c>
      <c r="D45" s="35">
        <v>22410</v>
      </c>
      <c r="E45" s="35">
        <v>22410</v>
      </c>
      <c r="F45" s="34">
        <f>Table132[[#This Row],[New position]]-Table132[[#This Row],[Old position]]</f>
        <v>0</v>
      </c>
      <c r="G45" s="35">
        <f>ROUND(Table132[[#This Row],[Target allocation ($)]]/(IF(G96&gt;0, G79,E79)*C21)*100,3)</f>
        <v>1.452</v>
      </c>
      <c r="H45" s="40">
        <f>Table132[[#This Row],[New position]]*Table132[[#This Row],[Last_Price]]</f>
        <v>2323917</v>
      </c>
      <c r="I45" s="27"/>
      <c r="K45" s="51"/>
      <c r="L45"/>
      <c r="M45"/>
      <c r="N45"/>
      <c r="O45"/>
      <c r="P45"/>
      <c r="Q45"/>
    </row>
    <row r="46" spans="1:17" x14ac:dyDescent="0.25">
      <c r="A46" s="45" t="s">
        <v>65</v>
      </c>
      <c r="B46" s="45" t="s">
        <v>14</v>
      </c>
      <c r="C46" s="47">
        <v>73.739999999999995</v>
      </c>
      <c r="D46" s="35">
        <v>19812</v>
      </c>
      <c r="E46" s="35">
        <v>19812</v>
      </c>
      <c r="F46" s="34">
        <f>Table132[[#This Row],[New position]]-Table132[[#This Row],[Old position]]</f>
        <v>0</v>
      </c>
      <c r="G46" s="35">
        <f>ROUND(Table132[[#This Row],[Target allocation ($)]]/(IF(G96&gt;0, G79,E79)*C21)*100,3)</f>
        <v>0.91300000000000003</v>
      </c>
      <c r="H46" s="40">
        <f>Table132[[#This Row],[New position]]*Table132[[#This Row],[Last_Price]]</f>
        <v>1460936.88</v>
      </c>
      <c r="I46" s="27"/>
      <c r="K46" s="51"/>
      <c r="L46"/>
      <c r="M46"/>
      <c r="N46"/>
      <c r="O46"/>
      <c r="P46"/>
      <c r="Q46"/>
    </row>
    <row r="47" spans="1:17" x14ac:dyDescent="0.25">
      <c r="A47" s="45">
        <v>600519</v>
      </c>
      <c r="B47" s="45" t="s">
        <v>14</v>
      </c>
      <c r="C47" s="47">
        <v>229.21896792189699</v>
      </c>
      <c r="D47" s="35">
        <v>900</v>
      </c>
      <c r="E47" s="35">
        <v>900</v>
      </c>
      <c r="F47" s="34">
        <f>Table132[[#This Row],[New position]]-Table132[[#This Row],[Old position]]</f>
        <v>0</v>
      </c>
      <c r="G47" s="35">
        <f>ROUND(Table132[[#This Row],[Target allocation ($)]]/(IF(G96&gt;0, G79,E79)*C21)*100,3)</f>
        <v>0.129</v>
      </c>
      <c r="H47" s="40">
        <f>Table132[[#This Row],[New position]]*Table132[[#This Row],[Last_Price]]</f>
        <v>206297.0711297073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700</v>
      </c>
      <c r="B48" s="45" t="s">
        <v>14</v>
      </c>
      <c r="C48" s="47">
        <v>36.850192061459701</v>
      </c>
      <c r="D48" s="35">
        <v>15300</v>
      </c>
      <c r="E48" s="35">
        <v>15300</v>
      </c>
      <c r="F48" s="34">
        <f>Table132[[#This Row],[New position]]-Table132[[#This Row],[Old position]]</f>
        <v>0</v>
      </c>
      <c r="G48" s="35">
        <f>ROUND(Table132[[#This Row],[Target allocation ($)]]/(IF(G96&gt;0, G79,E79)*C21)*100,3)</f>
        <v>0.35199999999999998</v>
      </c>
      <c r="H48" s="40">
        <f>Table132[[#This Row],[New position]]*Table132[[#This Row],[Last_Price]]</f>
        <v>563807.93854033342</v>
      </c>
      <c r="I48" s="56"/>
      <c r="K48" s="51"/>
      <c r="L48"/>
      <c r="M48"/>
      <c r="N48"/>
      <c r="O48"/>
      <c r="P48"/>
      <c r="Q48"/>
    </row>
    <row r="49" spans="1:17" x14ac:dyDescent="0.25">
      <c r="A49" s="45">
        <v>9988</v>
      </c>
      <c r="B49" s="45" t="s">
        <v>14</v>
      </c>
      <c r="C49" s="47">
        <v>9.0332906530089598</v>
      </c>
      <c r="D49" s="35">
        <v>22000</v>
      </c>
      <c r="E49" s="35">
        <v>22000</v>
      </c>
      <c r="F49" s="34">
        <f>Table132[[#This Row],[New position]]-Table132[[#This Row],[Old position]]</f>
        <v>0</v>
      </c>
      <c r="G49" s="35">
        <f>ROUND(Table132[[#This Row],[Target allocation ($)]]/(IF(G96&gt;0, G79,E79)*C21)*100,3)</f>
        <v>0.124</v>
      </c>
      <c r="H49" s="40">
        <f>Table132[[#This Row],[New position]]*Table132[[#This Row],[Last_Price]]</f>
        <v>198732.39436619711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9888</v>
      </c>
      <c r="B50" s="45" t="s">
        <v>14</v>
      </c>
      <c r="C50" s="47">
        <v>14.5326504481434</v>
      </c>
      <c r="D50" s="35">
        <v>15600</v>
      </c>
      <c r="E50" s="35">
        <v>15600</v>
      </c>
      <c r="F50" s="34">
        <f>Table132[[#This Row],[New position]]-Table132[[#This Row],[Old position]]</f>
        <v>0</v>
      </c>
      <c r="G50" s="35">
        <f>ROUND(Table132[[#This Row],[Target allocation ($)]]/(IF(G96&gt;0, G79,E79)*C21)*100,3)</f>
        <v>0.14199999999999999</v>
      </c>
      <c r="H50" s="40">
        <f>Table132[[#This Row],[New position]]*Table132[[#This Row],[Last_Price]]</f>
        <v>226709.34699103705</v>
      </c>
      <c r="I50" s="56"/>
      <c r="K50" s="51"/>
      <c r="L50"/>
      <c r="M50"/>
      <c r="N50"/>
      <c r="O50"/>
      <c r="P50"/>
      <c r="Q50"/>
    </row>
    <row r="51" spans="1:17" x14ac:dyDescent="0.25">
      <c r="A51" s="45" t="s">
        <v>82</v>
      </c>
      <c r="B51" s="45" t="s">
        <v>14</v>
      </c>
      <c r="C51" s="47">
        <v>66.099999999999994</v>
      </c>
      <c r="D51" s="35">
        <v>17878</v>
      </c>
      <c r="E51" s="35">
        <v>17878</v>
      </c>
      <c r="F51" s="34">
        <f>Table132[[#This Row],[New position]]-Table132[[#This Row],[Old position]]</f>
        <v>0</v>
      </c>
      <c r="G51" s="35">
        <f>ROUND(Table132[[#This Row],[Target allocation ($)]]/(IF(G96&gt;0, G79,E79)*C21)*100,3)</f>
        <v>0.73899999999999999</v>
      </c>
      <c r="H51" s="40">
        <f>Table132[[#This Row],[New position]]*Table132[[#This Row],[Last_Price]]</f>
        <v>1181735.7999999998</v>
      </c>
      <c r="I51" s="27"/>
      <c r="K51" s="51"/>
      <c r="L51"/>
      <c r="M51"/>
      <c r="N51"/>
      <c r="O51"/>
      <c r="P51"/>
      <c r="Q51"/>
    </row>
    <row r="52" spans="1:17" x14ac:dyDescent="0.25">
      <c r="A52" s="45" t="s">
        <v>81</v>
      </c>
      <c r="B52" s="45" t="s">
        <v>14</v>
      </c>
      <c r="C52" s="47">
        <v>97.94</v>
      </c>
      <c r="D52" s="35">
        <v>2750</v>
      </c>
      <c r="E52" s="35">
        <v>2750</v>
      </c>
      <c r="F52" s="34">
        <f>Table132[[#This Row],[New position]]-Table132[[#This Row],[Old position]]</f>
        <v>0</v>
      </c>
      <c r="G52" s="35">
        <f>ROUND(Table132[[#This Row],[Target allocation ($)]]/(IF(G96&gt;0, G79,E79)*C21)*100,3)</f>
        <v>0.16800000000000001</v>
      </c>
      <c r="H52" s="40">
        <f>Table132[[#This Row],[New position]]*Table132[[#This Row],[Last_Price]]</f>
        <v>269335</v>
      </c>
      <c r="I52" s="56"/>
      <c r="K52" s="51"/>
      <c r="L52"/>
      <c r="M52"/>
      <c r="N52"/>
      <c r="O52"/>
      <c r="P52"/>
      <c r="Q52"/>
    </row>
    <row r="53" spans="1:17" x14ac:dyDescent="0.25">
      <c r="A53" s="45" t="s">
        <v>83</v>
      </c>
      <c r="B53" s="45" t="s">
        <v>14</v>
      </c>
      <c r="C53" s="47">
        <v>21.61</v>
      </c>
      <c r="D53" s="35">
        <v>13151</v>
      </c>
      <c r="E53" s="35">
        <v>13151</v>
      </c>
      <c r="F53" s="34">
        <f>Table132[[#This Row],[New position]]-Table132[[#This Row],[Old position]]</f>
        <v>0</v>
      </c>
      <c r="G53" s="35">
        <f>ROUND(Table132[[#This Row],[Target allocation ($)]]/(IF(G96&gt;0, G79,E79)*C21)*100,3)</f>
        <v>0.17799999999999999</v>
      </c>
      <c r="H53" s="40">
        <f>Table132[[#This Row],[New position]]*Table132[[#This Row],[Last_Price]]</f>
        <v>284193.11</v>
      </c>
      <c r="I53" s="62"/>
      <c r="K53" s="51"/>
      <c r="L53"/>
      <c r="M53"/>
      <c r="N53"/>
      <c r="O53"/>
      <c r="P53"/>
      <c r="Q53"/>
    </row>
    <row r="54" spans="1:17" x14ac:dyDescent="0.25">
      <c r="A54" s="45" t="s">
        <v>11</v>
      </c>
      <c r="B54" s="45" t="s">
        <v>14</v>
      </c>
      <c r="C54" s="47">
        <v>408.29</v>
      </c>
      <c r="D54" s="35">
        <v>47550</v>
      </c>
      <c r="E54" s="35">
        <v>47550</v>
      </c>
      <c r="F54" s="34">
        <f>Table132[[#This Row],[New position]]-Table132[[#This Row],[Old position]]</f>
        <v>0</v>
      </c>
      <c r="G54" s="35">
        <f>ROUND(Table132[[#This Row],[Target allocation ($)]]/(IF(G96&gt;0, G79,E79)*C21)*100,3)</f>
        <v>12.132999999999999</v>
      </c>
      <c r="H54" s="40">
        <f>Table132[[#This Row],[New position]]*Table132[[#This Row],[Last_Price]]</f>
        <v>19414189.5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74</v>
      </c>
      <c r="B55" s="45" t="s">
        <v>14</v>
      </c>
      <c r="C55" s="47">
        <v>49.89</v>
      </c>
      <c r="D55" s="35">
        <v>16978</v>
      </c>
      <c r="E55" s="35">
        <v>16978</v>
      </c>
      <c r="F55" s="34">
        <f>Table132[[#This Row],[New position]]-Table132[[#This Row],[Old position]]</f>
        <v>0</v>
      </c>
      <c r="G55" s="35">
        <f>ROUND(Table132[[#This Row],[Target allocation ($)]]/(IF(G96&gt;0, G79,E79)*C21)*100,3)</f>
        <v>0.52900000000000003</v>
      </c>
      <c r="H55" s="40">
        <f>Table132[[#This Row],[New position]]*Table132[[#This Row],[Last_Price]]</f>
        <v>847032.42</v>
      </c>
      <c r="I55" s="56"/>
      <c r="K55" s="51"/>
      <c r="L55"/>
      <c r="M55"/>
      <c r="N55"/>
      <c r="O55"/>
      <c r="P55"/>
      <c r="Q55"/>
    </row>
    <row r="56" spans="1:17" x14ac:dyDescent="0.25">
      <c r="A56" s="45" t="s">
        <v>75</v>
      </c>
      <c r="B56" s="45" t="s">
        <v>14</v>
      </c>
      <c r="C56" s="47">
        <v>89.7</v>
      </c>
      <c r="D56" s="35">
        <v>25521</v>
      </c>
      <c r="E56" s="35">
        <v>25521</v>
      </c>
      <c r="F56" s="34">
        <f>Table132[[#This Row],[New position]]-Table132[[#This Row],[Old position]]</f>
        <v>0</v>
      </c>
      <c r="G56" s="35">
        <f>ROUND(Table132[[#This Row],[Target allocation ($)]]/(IF(G96&gt;0, G79,E79)*C21)*100,3)</f>
        <v>1.431</v>
      </c>
      <c r="H56" s="40">
        <f>Table132[[#This Row],[New position]]*Table132[[#This Row],[Last_Price]]</f>
        <v>2289233.7000000002</v>
      </c>
      <c r="I56" s="56"/>
      <c r="K56" s="51"/>
      <c r="L56"/>
      <c r="M56"/>
      <c r="N56"/>
      <c r="O56"/>
      <c r="P56"/>
      <c r="Q56"/>
    </row>
    <row r="57" spans="1:17" x14ac:dyDescent="0.25">
      <c r="A57" s="45" t="s">
        <v>86</v>
      </c>
      <c r="B57" s="45" t="s">
        <v>14</v>
      </c>
      <c r="C57" s="47">
        <v>9.5299999999999994</v>
      </c>
      <c r="D57" s="35">
        <v>517280</v>
      </c>
      <c r="E57" s="35">
        <v>517280</v>
      </c>
      <c r="F57" s="35">
        <f>Table132[[#This Row],[New position]]-Table132[[#This Row],[Old position]]</f>
        <v>0</v>
      </c>
      <c r="G57" s="35">
        <f>ROUND(Table132[[#This Row],[Target allocation ($)]]/(IF(G96&gt;0, G79,E79)*C21)*100,3)</f>
        <v>3.081</v>
      </c>
      <c r="H57" s="40">
        <f>Table132[[#This Row],[New position]]*Table132[[#This Row],[Last_Price]]</f>
        <v>4929678.3999999994</v>
      </c>
      <c r="I57" s="63"/>
      <c r="K57" s="51"/>
      <c r="L57"/>
      <c r="M57"/>
      <c r="N57"/>
      <c r="O57"/>
      <c r="P57"/>
      <c r="Q57"/>
    </row>
    <row r="58" spans="1:17" x14ac:dyDescent="0.25">
      <c r="A58" s="45" t="s">
        <v>87</v>
      </c>
      <c r="B58" s="45" t="s">
        <v>14</v>
      </c>
      <c r="C58" s="47">
        <v>13.01</v>
      </c>
      <c r="D58" s="35">
        <v>137760</v>
      </c>
      <c r="E58" s="35">
        <v>137760</v>
      </c>
      <c r="F58" s="35">
        <f>Table132[[#This Row],[New position]]-Table132[[#This Row],[Old position]]</f>
        <v>0</v>
      </c>
      <c r="G58" s="35">
        <f>ROUND(Table132[[#This Row],[Target allocation ($)]]/(IF(G96&gt;0, G79,E79)*C21)*100,3)</f>
        <v>1.1200000000000001</v>
      </c>
      <c r="H58" s="40">
        <f>Table132[[#This Row],[New position]]*Table132[[#This Row],[Last_Price]]</f>
        <v>1792257.5999999999</v>
      </c>
      <c r="I58" s="63"/>
      <c r="K58" s="51"/>
      <c r="L58"/>
      <c r="M58"/>
      <c r="N58"/>
      <c r="O58"/>
      <c r="P58"/>
      <c r="Q58"/>
    </row>
    <row r="59" spans="1:17" x14ac:dyDescent="0.25">
      <c r="A59" s="45" t="s">
        <v>33</v>
      </c>
      <c r="B59" s="45" t="s">
        <v>14</v>
      </c>
      <c r="C59" s="47">
        <v>53.38</v>
      </c>
      <c r="D59" s="35">
        <v>13652</v>
      </c>
      <c r="E59" s="35">
        <v>13652</v>
      </c>
      <c r="F59" s="35">
        <f>Table132[[#This Row],[New position]]-Table132[[#This Row],[Old position]]</f>
        <v>0</v>
      </c>
      <c r="G59" s="35">
        <f>ROUND(Table132[[#This Row],[Target allocation ($)]]/(IF(G96&gt;0, G79,E79)*C21)*100,3)</f>
        <v>0.45500000000000002</v>
      </c>
      <c r="H59" s="40">
        <f>Table132[[#This Row],[New position]]*Table132[[#This Row],[Last_Price]]</f>
        <v>728743.76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84</v>
      </c>
      <c r="B60" s="45" t="s">
        <v>14</v>
      </c>
      <c r="C60" s="47">
        <v>20.73</v>
      </c>
      <c r="D60" s="35">
        <v>30300</v>
      </c>
      <c r="E60" s="35">
        <v>30300</v>
      </c>
      <c r="F60" s="35">
        <f>Table132[[#This Row],[New position]]-Table132[[#This Row],[Old position]]</f>
        <v>0</v>
      </c>
      <c r="G60" s="35">
        <f>ROUND(Table132[[#This Row],[Target allocation ($)]]/(IF(G96&gt;0, G79,E79)*C21)*100,3)</f>
        <v>0.39300000000000002</v>
      </c>
      <c r="H60" s="40">
        <f>Table132[[#This Row],[New position]]*Table132[[#This Row],[Last_Price]]</f>
        <v>628119</v>
      </c>
      <c r="I60" s="27"/>
      <c r="K60" s="51"/>
      <c r="L60"/>
      <c r="M60"/>
      <c r="N60"/>
      <c r="O60"/>
      <c r="P60"/>
      <c r="Q60"/>
    </row>
    <row r="61" spans="1:17" x14ac:dyDescent="0.25">
      <c r="A61" s="45" t="s">
        <v>91</v>
      </c>
      <c r="B61" s="45" t="s">
        <v>14</v>
      </c>
      <c r="C61" s="47">
        <v>28.23</v>
      </c>
      <c r="D61" s="35">
        <v>12600</v>
      </c>
      <c r="E61" s="35">
        <v>12600</v>
      </c>
      <c r="F61" s="35">
        <f>Table132[[#This Row],[New position]]-Table132[[#This Row],[Old position]]</f>
        <v>0</v>
      </c>
      <c r="G61" s="35">
        <f>ROUND(Table132[[#This Row],[Target allocation ($)]]/(IF(G96&gt;0, G79,E79)*C21)*100,3)</f>
        <v>0.222</v>
      </c>
      <c r="H61" s="40">
        <f>Table132[[#This Row],[New position]]*Table132[[#This Row],[Last_Price]]</f>
        <v>355698</v>
      </c>
      <c r="I61" s="63"/>
      <c r="K61" s="51"/>
      <c r="L61"/>
      <c r="M61"/>
      <c r="N61"/>
      <c r="O61"/>
      <c r="P61"/>
      <c r="Q61"/>
    </row>
    <row r="62" spans="1:17" x14ac:dyDescent="0.25">
      <c r="A62" s="45" t="s">
        <v>92</v>
      </c>
      <c r="B62" s="45" t="s">
        <v>14</v>
      </c>
      <c r="C62" s="47">
        <v>70.099999999999994</v>
      </c>
      <c r="D62" s="35">
        <v>0</v>
      </c>
      <c r="E62" s="35">
        <v>4500</v>
      </c>
      <c r="F62" s="35">
        <f>ROUND(Table132[[#This Row],[New position]]-Table132[[#This Row],[Old position]], -2)</f>
        <v>4500</v>
      </c>
      <c r="G62" s="35">
        <f>ROUND(Table132[[#This Row],[Target allocation ($)]]/(IF(G96&gt;0, G79,E79)*C21)*100,3)</f>
        <v>0.19700000000000001</v>
      </c>
      <c r="H62" s="40">
        <f>Table132[[#This Row],[New position]]*Table132[[#This Row],[Last_Price]]</f>
        <v>315450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34</v>
      </c>
      <c r="B63" s="45" t="s">
        <v>14</v>
      </c>
      <c r="C63" s="47">
        <v>80.94</v>
      </c>
      <c r="D63" s="35">
        <v>29090</v>
      </c>
      <c r="E63" s="35">
        <v>29090</v>
      </c>
      <c r="F63" s="34">
        <f>Table132[[#This Row],[New position]]-Table132[[#This Row],[Old position]]</f>
        <v>0</v>
      </c>
      <c r="G63" s="35">
        <f>ROUND(Table132[[#This Row],[Target allocation ($)]]/(IF(G96&gt;0, G79,E79)*C21)*100,3)</f>
        <v>1.4710000000000001</v>
      </c>
      <c r="H63" s="40">
        <f>Table132[[#This Row],[New position]]*Table132[[#This Row],[Last_Price]]</f>
        <v>2354544.6</v>
      </c>
      <c r="I63" s="27"/>
      <c r="K63" s="51"/>
      <c r="L63"/>
      <c r="M63"/>
      <c r="N63"/>
      <c r="O63"/>
      <c r="P63"/>
      <c r="Q63"/>
    </row>
    <row r="64" spans="1:17" x14ac:dyDescent="0.25">
      <c r="A64" s="45" t="s">
        <v>35</v>
      </c>
      <c r="B64" s="45" t="s">
        <v>14</v>
      </c>
      <c r="C64" s="47">
        <v>71.34</v>
      </c>
      <c r="D64" s="35">
        <v>38350</v>
      </c>
      <c r="E64" s="35">
        <v>38350</v>
      </c>
      <c r="F64" s="34">
        <f>Table132[[#This Row],[New position]]-Table132[[#This Row],[Old position]]</f>
        <v>0</v>
      </c>
      <c r="G64" s="35">
        <f>ROUND(Table132[[#This Row],[Target allocation ($)]]/(IF(G96&gt;0, G79,E79)*C21)*100,3)</f>
        <v>1.71</v>
      </c>
      <c r="H64" s="40">
        <f>Table132[[#This Row],[New position]]*Table132[[#This Row],[Last_Price]]</f>
        <v>2735889</v>
      </c>
      <c r="I64" s="27"/>
      <c r="K64" s="51"/>
      <c r="L64"/>
      <c r="M64"/>
      <c r="N64"/>
      <c r="O64"/>
      <c r="P64"/>
      <c r="Q64"/>
    </row>
    <row r="65" spans="1:17" x14ac:dyDescent="0.25">
      <c r="A65" s="45" t="s">
        <v>45</v>
      </c>
      <c r="B65" s="45" t="s">
        <v>14</v>
      </c>
      <c r="C65" s="47">
        <v>96.67</v>
      </c>
      <c r="D65" s="35">
        <v>24519</v>
      </c>
      <c r="E65" s="35">
        <v>24519</v>
      </c>
      <c r="F65" s="34">
        <f>Table132[[#This Row],[New position]]-Table132[[#This Row],[Old position]]</f>
        <v>0</v>
      </c>
      <c r="G65" s="35">
        <f>ROUND(Table132[[#This Row],[Target allocation ($)]]/(IF(G96&gt;0, G79,E79)*C21)*100,3)</f>
        <v>1.4810000000000001</v>
      </c>
      <c r="H65" s="40">
        <f>Table132[[#This Row],[New position]]*Table132[[#This Row],[Last_Price]]</f>
        <v>2370251.73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59</v>
      </c>
      <c r="B66" s="45" t="s">
        <v>14</v>
      </c>
      <c r="C66" s="47">
        <v>110.2</v>
      </c>
      <c r="D66" s="35">
        <v>20992</v>
      </c>
      <c r="E66" s="35">
        <v>20992</v>
      </c>
      <c r="F66" s="34">
        <f>Table132[[#This Row],[New position]]-Table132[[#This Row],[Old position]]</f>
        <v>0</v>
      </c>
      <c r="G66" s="35">
        <f>ROUND(Table132[[#This Row],[Target allocation ($)]]/(IF(G96&gt;0, G79,E79)*C21)*100,3)</f>
        <v>1.446</v>
      </c>
      <c r="H66" s="40">
        <f>Table132[[#This Row],[New position]]*Table132[[#This Row],[Last_Price]]</f>
        <v>2313318.3999999999</v>
      </c>
      <c r="I66" s="27"/>
      <c r="K66" s="51"/>
      <c r="L66"/>
      <c r="M66"/>
      <c r="N66"/>
      <c r="O66"/>
      <c r="P66"/>
      <c r="Q66"/>
    </row>
    <row r="67" spans="1:17" x14ac:dyDescent="0.25">
      <c r="A67" s="45" t="s">
        <v>73</v>
      </c>
      <c r="B67" s="45" t="s">
        <v>14</v>
      </c>
      <c r="C67" s="47">
        <v>36.450000000000003</v>
      </c>
      <c r="D67" s="35">
        <v>57250</v>
      </c>
      <c r="E67" s="35">
        <v>57250</v>
      </c>
      <c r="F67" s="34">
        <f>Table132[[#This Row],[New position]]-Table132[[#This Row],[Old position]]</f>
        <v>0</v>
      </c>
      <c r="G67" s="35">
        <f>ROUND(Table132[[#This Row],[Target allocation ($)]]/(IF(G96&gt;0, G79,E79)*C21)*100,3)</f>
        <v>1.304</v>
      </c>
      <c r="H67" s="40">
        <f>Table132[[#This Row],[New position]]*Table132[[#This Row],[Last_Price]]</f>
        <v>2086762.5000000002</v>
      </c>
      <c r="I67" s="56"/>
      <c r="K67" s="51"/>
      <c r="L67"/>
      <c r="M67"/>
      <c r="N67"/>
      <c r="O67"/>
      <c r="P67"/>
      <c r="Q67"/>
    </row>
    <row r="68" spans="1:17" x14ac:dyDescent="0.25">
      <c r="A68" s="45" t="s">
        <v>42</v>
      </c>
      <c r="B68" s="45" t="s">
        <v>14</v>
      </c>
      <c r="C68" s="47">
        <v>294.14999999999998</v>
      </c>
      <c r="D68" s="35">
        <v>28498</v>
      </c>
      <c r="E68" s="35">
        <v>28498</v>
      </c>
      <c r="F68" s="34">
        <f>Table132[[#This Row],[New position]]-Table132[[#This Row],[Old position]]</f>
        <v>0</v>
      </c>
      <c r="G68" s="35">
        <f>ROUND(Table132[[#This Row],[Target allocation ($)]]/(IF(G96&gt;0, G79,E79)*C21)*100,3)</f>
        <v>5.2389999999999999</v>
      </c>
      <c r="H68" s="40">
        <f>Table132[[#This Row],[New position]]*Table132[[#This Row],[Last_Price]]</f>
        <v>8382686.6999999993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43</v>
      </c>
      <c r="B69" s="45" t="s">
        <v>14</v>
      </c>
      <c r="C69" s="47">
        <v>59.91</v>
      </c>
      <c r="D69" s="35">
        <v>188438</v>
      </c>
      <c r="E69" s="35">
        <v>188438</v>
      </c>
      <c r="F69" s="34">
        <f>Table132[[#This Row],[New position]]-Table132[[#This Row],[Old position]]</f>
        <v>0</v>
      </c>
      <c r="G69" s="35">
        <f>ROUND(Table132[[#This Row],[Target allocation ($)]]/(IF(G96&gt;0, G79,E79)*C21)*100,3)</f>
        <v>7.0549999999999997</v>
      </c>
      <c r="H69" s="40">
        <f>Table132[[#This Row],[New position]]*Table132[[#This Row],[Last_Price]]</f>
        <v>11289320.58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58</v>
      </c>
      <c r="B70" s="45" t="s">
        <v>14</v>
      </c>
      <c r="C70" s="47">
        <v>448.5</v>
      </c>
      <c r="D70" s="35">
        <v>13150</v>
      </c>
      <c r="E70" s="35">
        <v>13150</v>
      </c>
      <c r="F70" s="34">
        <f>Table132[[#This Row],[New position]]-Table132[[#This Row],[Old position]]</f>
        <v>0</v>
      </c>
      <c r="G70" s="35">
        <f>ROUND(Table132[[#This Row],[Target allocation ($)]]/(IF(G96&gt;0, G79,E79)*C21)*100,3)</f>
        <v>3.6859999999999999</v>
      </c>
      <c r="H70" s="40">
        <f>Table132[[#This Row],[New position]]*Table132[[#This Row],[Last_Price]]</f>
        <v>5897775</v>
      </c>
      <c r="I70" s="56"/>
      <c r="K70" s="51"/>
      <c r="L70"/>
      <c r="M70"/>
      <c r="N70"/>
      <c r="O70"/>
      <c r="P70"/>
      <c r="Q70"/>
    </row>
    <row r="71" spans="1:17" x14ac:dyDescent="0.25">
      <c r="A71" s="45" t="s">
        <v>85</v>
      </c>
      <c r="B71" s="45" t="s">
        <v>14</v>
      </c>
      <c r="C71" s="47">
        <v>63.7</v>
      </c>
      <c r="D71" s="35">
        <v>36566</v>
      </c>
      <c r="E71" s="35">
        <v>36566</v>
      </c>
      <c r="F71" s="34">
        <f>Table132[[#This Row],[New position]]-Table132[[#This Row],[Old position]]</f>
        <v>0</v>
      </c>
      <c r="G71" s="35">
        <f>ROUND(Table132[[#This Row],[Target allocation ($)]]/(IF(G96&gt;0, G79,E79)*C21)*100,3)</f>
        <v>1.456</v>
      </c>
      <c r="H71" s="40">
        <f>Table132[[#This Row],[New position]]*Table132[[#This Row],[Last_Price]]</f>
        <v>2329254.2000000002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90</v>
      </c>
      <c r="B72" s="45" t="s">
        <v>14</v>
      </c>
      <c r="C72" s="47">
        <v>72.78</v>
      </c>
      <c r="D72" s="35">
        <v>50000</v>
      </c>
      <c r="E72" s="35">
        <v>50000</v>
      </c>
      <c r="F72" s="34">
        <f>Table132[[#This Row],[New position]]-Table132[[#This Row],[Old position]]</f>
        <v>0</v>
      </c>
      <c r="G72" s="35">
        <f>ROUND(Table132[[#This Row],[Target allocation ($)]]/(IF(G96&gt;0, G79,E79)*C21)*100,3)</f>
        <v>2.274</v>
      </c>
      <c r="H72" s="40">
        <f>Table132[[#This Row],[New position]]*Table132[[#This Row],[Last_Price]]</f>
        <v>3639000</v>
      </c>
      <c r="I72" s="63"/>
      <c r="K72" s="51"/>
      <c r="L72"/>
      <c r="M72"/>
      <c r="N72"/>
      <c r="O72"/>
      <c r="P72"/>
      <c r="Q72"/>
    </row>
    <row r="73" spans="1:17" x14ac:dyDescent="0.25">
      <c r="A73" s="45" t="s">
        <v>96</v>
      </c>
      <c r="B73" s="45" t="s">
        <v>14</v>
      </c>
      <c r="C73" s="47">
        <v>95.15</v>
      </c>
      <c r="D73" s="35">
        <v>23754</v>
      </c>
      <c r="E73" s="35">
        <v>23754</v>
      </c>
      <c r="F73" s="32">
        <f>Table132[[#This Row],[New position]]-Table132[[#This Row],[Old position]]</f>
        <v>0</v>
      </c>
      <c r="G73" s="35">
        <f>ROUND(Table132[[#This Row],[Target allocation ($)]]/(IF(G96&gt;0, G79,E79)*C21)*100,3)</f>
        <v>1.4119999999999999</v>
      </c>
      <c r="H73" s="40">
        <f>Table132[[#This Row],[New position]]*Table132[[#This Row],[Last_Price]]</f>
        <v>2260193.1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60</v>
      </c>
      <c r="B74" s="45" t="s">
        <v>14</v>
      </c>
      <c r="C74" s="47">
        <v>41</v>
      </c>
      <c r="D74" s="35">
        <v>7002</v>
      </c>
      <c r="E74" s="35">
        <v>7002</v>
      </c>
      <c r="F74" s="34">
        <f>Table132[[#This Row],[New position]]-Table132[[#This Row],[Old position]]</f>
        <v>0</v>
      </c>
      <c r="G74" s="35">
        <f>ROUND(Table132[[#This Row],[Target allocation ($)]]/(IF(G96&gt;0, G79,E79)*C21)*100,3)</f>
        <v>0.17899999999999999</v>
      </c>
      <c r="H74" s="40">
        <f>Table132[[#This Row],[New position]]*Table132[[#This Row],[Last_Price]]</f>
        <v>287082</v>
      </c>
      <c r="I74" s="27"/>
      <c r="K74" s="51"/>
      <c r="L74"/>
      <c r="M74"/>
      <c r="N74"/>
      <c r="O74"/>
      <c r="P74"/>
      <c r="Q74"/>
    </row>
    <row r="75" spans="1:17" x14ac:dyDescent="0.25">
      <c r="A75" s="45" t="s">
        <v>104</v>
      </c>
      <c r="B75" s="45" t="s">
        <v>14</v>
      </c>
      <c r="C75" s="47">
        <v>139.44999999999999</v>
      </c>
      <c r="D75" s="35">
        <v>9800</v>
      </c>
      <c r="E75" s="35">
        <v>9800</v>
      </c>
      <c r="F75" s="34">
        <f>Table132[[#This Row],[New position]]-Table132[[#This Row],[Old position]]</f>
        <v>0</v>
      </c>
      <c r="G75" s="35">
        <f>ROUND(Table132[[#This Row],[Target allocation ($)]]/(IF(G96&gt;0, G79,E79)*C21)*100,3)</f>
        <v>0.85399999999999998</v>
      </c>
      <c r="H75" s="40">
        <f>Table132[[#This Row],[New position]]*Table132[[#This Row],[Last_Price]]</f>
        <v>1366610</v>
      </c>
      <c r="I75" s="66"/>
      <c r="K75" s="51"/>
      <c r="L75"/>
      <c r="M75"/>
      <c r="N75"/>
      <c r="O75"/>
      <c r="P75"/>
      <c r="Q75"/>
    </row>
    <row r="76" spans="1:17" x14ac:dyDescent="0.25">
      <c r="A76" s="45" t="s">
        <v>62</v>
      </c>
      <c r="B76" s="45" t="s">
        <v>14</v>
      </c>
      <c r="C76" s="47">
        <v>189.55</v>
      </c>
      <c r="D76" s="35">
        <v>38544</v>
      </c>
      <c r="E76" s="35">
        <v>38544</v>
      </c>
      <c r="F76" s="34">
        <f>Table132[[#This Row],[New position]]-Table132[[#This Row],[Old position]]</f>
        <v>0</v>
      </c>
      <c r="G76" s="35">
        <f>ROUND(Table132[[#This Row],[Target allocation ($)]]/(IF(G96&gt;0, G79,E79)*C21)*100,3)</f>
        <v>4.5659999999999998</v>
      </c>
      <c r="H76" s="40">
        <f>Table132[[#This Row],[New position]]*Table132[[#This Row],[Last_Price]]</f>
        <v>7306015.2000000002</v>
      </c>
      <c r="I76" s="56"/>
      <c r="K76" s="51"/>
      <c r="L76"/>
      <c r="M76"/>
      <c r="N76"/>
      <c r="O76"/>
      <c r="P76"/>
      <c r="Q76"/>
    </row>
    <row r="77" spans="1:17" x14ac:dyDescent="0.25">
      <c r="A77" s="45"/>
      <c r="B77" s="45"/>
      <c r="C77" s="47"/>
      <c r="D77" s="35"/>
      <c r="E77" s="35"/>
      <c r="F77" s="32"/>
      <c r="G77" s="35"/>
      <c r="H77" s="47"/>
      <c r="I77" s="49"/>
      <c r="K77"/>
      <c r="L77"/>
      <c r="M77"/>
      <c r="N77"/>
      <c r="O77"/>
      <c r="P77"/>
      <c r="Q77"/>
    </row>
    <row r="78" spans="1:17" x14ac:dyDescent="0.25">
      <c r="A78" s="45"/>
      <c r="B78" s="45"/>
      <c r="C78" s="46"/>
      <c r="D78" s="36"/>
      <c r="E78" s="57" t="s">
        <v>46</v>
      </c>
      <c r="F78" s="32"/>
      <c r="G78" s="58" t="s">
        <v>47</v>
      </c>
      <c r="H78" s="47"/>
      <c r="I78" s="49"/>
      <c r="K78"/>
      <c r="L78"/>
      <c r="M78"/>
      <c r="N78"/>
      <c r="O78"/>
      <c r="P78"/>
      <c r="Q78"/>
    </row>
    <row r="79" spans="1:17" ht="30" x14ac:dyDescent="0.25">
      <c r="A79" s="45" t="s">
        <v>32</v>
      </c>
      <c r="B79" s="45"/>
      <c r="C79" s="46"/>
      <c r="D79" s="36"/>
      <c r="E79" s="35">
        <f xml:space="preserve"> IF(G96&gt;0, (C22+ABS(G96*G79))/C18, C22/C18)</f>
        <v>3.4877180000000005</v>
      </c>
      <c r="F79" s="32"/>
      <c r="G79" s="35">
        <v>3.4877180000000001</v>
      </c>
      <c r="H79" s="47"/>
      <c r="I79" s="49"/>
      <c r="K79"/>
      <c r="L79"/>
      <c r="M79"/>
      <c r="N79"/>
      <c r="O79"/>
      <c r="P79"/>
      <c r="Q79"/>
    </row>
    <row r="80" spans="1:17" ht="15" customHeight="1" x14ac:dyDescent="0.25">
      <c r="A80" s="35" t="s">
        <v>36</v>
      </c>
      <c r="B80" s="35"/>
      <c r="C80" s="35"/>
      <c r="D80" s="48" t="str">
        <f>Table132[[#This Row],[Symbol]]</f>
        <v>SingleStocks</v>
      </c>
      <c r="E80" s="35">
        <f>ROUND(SUM(G25:G34)/100, 3)</f>
        <v>2.5999999999999999E-2</v>
      </c>
      <c r="F80" s="48" t="str">
        <f>Table132[[#This Row],[Symbol]]</f>
        <v>SingleStocks</v>
      </c>
      <c r="G80" s="35">
        <f>SUM(H25:H34)/(G79*C21)</f>
        <v>2.5618767604405318E-2</v>
      </c>
      <c r="H80" s="35"/>
      <c r="I80" s="28"/>
      <c r="K80"/>
      <c r="L80"/>
      <c r="M80"/>
      <c r="N80"/>
      <c r="O80"/>
      <c r="P80"/>
      <c r="Q80"/>
    </row>
    <row r="81" spans="1:17" ht="15" customHeight="1" x14ac:dyDescent="0.25">
      <c r="A81" s="45" t="s">
        <v>98</v>
      </c>
      <c r="B81" s="45"/>
      <c r="C81" s="46"/>
      <c r="D81" s="48" t="str">
        <f>Table132[[#This Row],[Symbol]]</f>
        <v>Healthcare</v>
      </c>
      <c r="E81" s="35">
        <f>ROUND(SUM(G35:G39)/100, 3)</f>
        <v>5.8000000000000003E-2</v>
      </c>
      <c r="F81" s="48" t="str">
        <f>Table132[[#This Row],[Symbol]]</f>
        <v>Healthcare</v>
      </c>
      <c r="G81" s="54">
        <f>SUM(H35:H39)/(G79*C21)</f>
        <v>5.8490520833101044E-2</v>
      </c>
      <c r="H81" s="47"/>
      <c r="I81" s="28"/>
      <c r="K81"/>
      <c r="L81"/>
      <c r="M81"/>
      <c r="N81"/>
      <c r="O81"/>
      <c r="P81"/>
      <c r="Q81"/>
    </row>
    <row r="82" spans="1:17" ht="15" customHeight="1" x14ac:dyDescent="0.25">
      <c r="A82" s="45" t="s">
        <v>77</v>
      </c>
      <c r="B82" s="45"/>
      <c r="C82" s="46"/>
      <c r="D82" s="48" t="str">
        <f>Table132[[#This Row],[Symbol]]</f>
        <v>Semiconductor</v>
      </c>
      <c r="E82" s="35">
        <f>ROUND(SUM(G40:G42)/100, 3)</f>
        <v>1.0999999999999999E-2</v>
      </c>
      <c r="F82" s="48" t="str">
        <f>Table132[[#This Row],[Symbol]]</f>
        <v>Semiconductor</v>
      </c>
      <c r="G82" s="35">
        <f>SUM(H40:H42)/(G79*C21)</f>
        <v>1.1280371620912045E-2</v>
      </c>
      <c r="H82" s="47"/>
      <c r="I82" s="55"/>
      <c r="K82"/>
      <c r="L82"/>
      <c r="M82"/>
      <c r="N82"/>
      <c r="O82"/>
      <c r="P82"/>
      <c r="Q82"/>
    </row>
    <row r="83" spans="1:17" ht="15.75" customHeight="1" x14ac:dyDescent="0.25">
      <c r="A83" s="45" t="s">
        <v>78</v>
      </c>
      <c r="B83" s="45"/>
      <c r="C83" s="46"/>
      <c r="D83" s="48" t="str">
        <f>Table132[[#This Row],[Symbol]]</f>
        <v>Small Cap</v>
      </c>
      <c r="E83" s="54">
        <f>ROUND(SUM(G43)/100, 3)</f>
        <v>2.7E-2</v>
      </c>
      <c r="F83" s="48" t="str">
        <f>Table132[[#This Row],[Symbol]]</f>
        <v>Small Cap</v>
      </c>
      <c r="G83" s="54">
        <f>SUM(H43)/(G79*C21)</f>
        <v>2.7131675905834648E-2</v>
      </c>
      <c r="H83" s="47"/>
      <c r="I83" s="55"/>
      <c r="K83"/>
      <c r="L83"/>
      <c r="M83"/>
      <c r="N83"/>
      <c r="O83"/>
      <c r="P83"/>
      <c r="Q83"/>
    </row>
    <row r="84" spans="1:17" ht="15.75" customHeight="1" x14ac:dyDescent="0.25">
      <c r="A84" s="45" t="s">
        <v>66</v>
      </c>
      <c r="B84" s="45"/>
      <c r="C84" s="46"/>
      <c r="D84" s="48" t="str">
        <f>Table132[[#This Row],[Symbol]]</f>
        <v>S&amp;P</v>
      </c>
      <c r="E84" s="35">
        <f>ROUND(SUM(G44:G45)/100, 3)</f>
        <v>3.5999999999999997E-2</v>
      </c>
      <c r="F84" s="48" t="str">
        <f>Table132[[#This Row],[Symbol]]</f>
        <v>S&amp;P</v>
      </c>
      <c r="G84" s="35">
        <f>SUM(H44:H45)/(G79*C21)</f>
        <v>3.5907681591145192E-2</v>
      </c>
      <c r="H84" s="47"/>
      <c r="I84" s="55"/>
      <c r="K84"/>
      <c r="L84"/>
      <c r="M84"/>
      <c r="N84"/>
      <c r="O84"/>
      <c r="P84"/>
      <c r="Q84"/>
    </row>
    <row r="85" spans="1:17" ht="15.75" customHeight="1" x14ac:dyDescent="0.25">
      <c r="A85" s="45" t="s">
        <v>67</v>
      </c>
      <c r="B85" s="45"/>
      <c r="C85" s="46"/>
      <c r="D85" s="48" t="str">
        <f>Table132[[#This Row],[Symbol]]</f>
        <v>Dow Jones</v>
      </c>
      <c r="E85" s="35">
        <f>ROUND(SUM(G46)/100, 3)</f>
        <v>8.9999999999999993E-3</v>
      </c>
      <c r="F85" s="48" t="str">
        <f>Table132[[#This Row],[Symbol]]</f>
        <v>Dow Jones</v>
      </c>
      <c r="G85" s="35">
        <f>SUM(H46)/(G79*C21)</f>
        <v>9.1298484035854596E-3</v>
      </c>
      <c r="H85" s="47"/>
      <c r="I85" s="55"/>
      <c r="K85"/>
      <c r="L85"/>
      <c r="M85"/>
      <c r="N85"/>
      <c r="O85"/>
      <c r="P85"/>
      <c r="Q85"/>
    </row>
    <row r="86" spans="1:17" ht="14.25" customHeight="1" x14ac:dyDescent="0.25">
      <c r="A86" s="45" t="s">
        <v>76</v>
      </c>
      <c r="B86" s="45"/>
      <c r="C86" s="46"/>
      <c r="D86" s="48" t="str">
        <f>Table132[[#This Row],[Symbol]]</f>
        <v>Int Stocks</v>
      </c>
      <c r="E86" s="35">
        <f>ROUND(SUM(G47:G53)/100, 3)</f>
        <v>1.7999999999999999E-2</v>
      </c>
      <c r="F86" s="48" t="str">
        <f>Table132[[#This Row],[Symbol]]</f>
        <v>Int Stocks</v>
      </c>
      <c r="G86" s="35">
        <f>SUM(H47:H53)/(G79*C21)</f>
        <v>1.8315546277941255E-2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11</v>
      </c>
      <c r="B87" s="45"/>
      <c r="C87" s="46"/>
      <c r="D87" s="48" t="str">
        <f>Table132[[#This Row],[Symbol]]</f>
        <v>QQQ</v>
      </c>
      <c r="E87" s="54">
        <f>ROUND(SUM(G54:G55)/100, 3)</f>
        <v>0.127</v>
      </c>
      <c r="F87" s="48" t="str">
        <f>Table132[[#This Row],[Symbol]]</f>
        <v>QQQ</v>
      </c>
      <c r="G87" s="35">
        <f>SUM(H54:H55)/(G79*C21)</f>
        <v>0.12661866993254545</v>
      </c>
      <c r="H87" s="47"/>
      <c r="I87" s="28"/>
      <c r="K87"/>
      <c r="L87"/>
      <c r="M87"/>
      <c r="N87"/>
      <c r="O87"/>
      <c r="P87"/>
      <c r="Q87"/>
    </row>
    <row r="88" spans="1:17" ht="15.75" customHeight="1" x14ac:dyDescent="0.25">
      <c r="A88" s="61" t="s">
        <v>79</v>
      </c>
      <c r="B88" s="45"/>
      <c r="C88" s="46"/>
      <c r="D88" s="48" t="str">
        <f>Table132[[#This Row],[Symbol]]</f>
        <v>Regional Bank</v>
      </c>
      <c r="E88" s="54">
        <f>ROUND(SUM(G56)/100, 3)</f>
        <v>1.4E-2</v>
      </c>
      <c r="F88" s="48" t="str">
        <f>Table132[[#This Row],[Symbol]]</f>
        <v>Regional Bank</v>
      </c>
      <c r="G88" s="35">
        <f>SUM(H56)/(G79*C21)</f>
        <v>1.430613254241281E-2</v>
      </c>
      <c r="H88" s="47"/>
      <c r="I88" s="28"/>
      <c r="K88"/>
      <c r="L88"/>
      <c r="M88"/>
      <c r="N88"/>
      <c r="O88"/>
      <c r="P88"/>
      <c r="Q88"/>
    </row>
    <row r="89" spans="1:17" ht="15.75" customHeight="1" x14ac:dyDescent="0.25">
      <c r="A89" s="45" t="s">
        <v>88</v>
      </c>
      <c r="B89" s="45"/>
      <c r="C89" s="46"/>
      <c r="D89" s="48" t="str">
        <f>Table132[[#This Row],[Symbol]]</f>
        <v>Short</v>
      </c>
      <c r="E89" s="35">
        <f>ROUND(SUM(G57:G58)/100, 3)</f>
        <v>4.2000000000000003E-2</v>
      </c>
      <c r="F89" s="48" t="str">
        <f>Table132[[#This Row],[Symbol]]</f>
        <v>Short</v>
      </c>
      <c r="G89" s="35">
        <f>SUM(H57:H58)/(G79*C21)</f>
        <v>4.2007466235367837E-2</v>
      </c>
      <c r="H89" s="47"/>
      <c r="I89" s="64"/>
      <c r="K89"/>
      <c r="L89"/>
      <c r="M89"/>
      <c r="N89"/>
      <c r="O89"/>
      <c r="P89"/>
      <c r="Q89"/>
    </row>
    <row r="90" spans="1:17" ht="14.25" customHeight="1" x14ac:dyDescent="0.25">
      <c r="A90" s="35" t="s">
        <v>27</v>
      </c>
      <c r="B90" s="45"/>
      <c r="C90" s="46"/>
      <c r="D90" s="48" t="str">
        <f>Table132[[#This Row],[Symbol]]</f>
        <v>Bonds</v>
      </c>
      <c r="E90" s="35">
        <f>ROUND((SUM(G63:G65)+SUM(G66:G67))/100, 3)</f>
        <v>7.3999999999999996E-2</v>
      </c>
      <c r="F90" s="48" t="str">
        <f>Table132[[#This Row],[Symbol]]</f>
        <v>Bonds</v>
      </c>
      <c r="G90" s="35">
        <f>(SUM(H63:H65)+SUM(H66:H67))/(G79*C21)</f>
        <v>7.4121612721739116E-2</v>
      </c>
      <c r="H90" s="47"/>
      <c r="I90" s="28"/>
      <c r="K90"/>
      <c r="L90"/>
      <c r="M90"/>
      <c r="N90"/>
      <c r="O90"/>
      <c r="P90"/>
      <c r="Q90"/>
    </row>
    <row r="91" spans="1:17" ht="14.25" customHeight="1" x14ac:dyDescent="0.25">
      <c r="A91" s="45" t="s">
        <v>100</v>
      </c>
      <c r="B91" s="45"/>
      <c r="C91" s="46"/>
      <c r="D91" s="48" t="str">
        <f>Table132[[#This Row],[Symbol]]</f>
        <v>Core</v>
      </c>
      <c r="E91" s="35">
        <f>ROUND((SUM(G68:G71)+SUM(G72:G73))/100, 3)</f>
        <v>0.21099999999999999</v>
      </c>
      <c r="F91" s="48" t="str">
        <f>Table132[[#This Row],[Symbol]]</f>
        <v>Core</v>
      </c>
      <c r="G91" s="35">
        <f>(SUM(H68:H71)+SUM(H72:H73))/(G79*C21)</f>
        <v>0.21121563607524088</v>
      </c>
      <c r="H91" s="47"/>
      <c r="I91" s="65"/>
      <c r="K91"/>
      <c r="L91"/>
      <c r="M91"/>
      <c r="N91"/>
      <c r="O91"/>
      <c r="P91"/>
      <c r="Q91"/>
    </row>
    <row r="92" spans="1:17" ht="14.25" customHeight="1" x14ac:dyDescent="0.25">
      <c r="A92" s="45" t="s">
        <v>38</v>
      </c>
      <c r="B92" s="35"/>
      <c r="C92" s="35"/>
      <c r="D92" s="48" t="str">
        <f>Table132[[#This Row],[Symbol]]</f>
        <v>Gold</v>
      </c>
      <c r="E92" s="35">
        <f>ROUND(SUM(G76)/100,3)</f>
        <v>4.5999999999999999E-2</v>
      </c>
      <c r="F92" s="48" t="str">
        <f>Table132[[#This Row],[Symbol]]</f>
        <v>Gold</v>
      </c>
      <c r="G92" s="35">
        <f>SUM(H76)/(G79*C21)</f>
        <v>4.5657558600540708E-2</v>
      </c>
      <c r="H92" s="35"/>
      <c r="I92" s="29"/>
      <c r="K92"/>
      <c r="L92"/>
      <c r="M92"/>
      <c r="N92"/>
      <c r="O92"/>
      <c r="P92"/>
      <c r="Q92"/>
    </row>
    <row r="93" spans="1:17" ht="15" customHeight="1" x14ac:dyDescent="0.25">
      <c r="A93" s="35" t="s">
        <v>28</v>
      </c>
      <c r="B93" s="35"/>
      <c r="C93" s="35"/>
      <c r="D93" s="48" t="str">
        <f>Table132[[#This Row],[Symbol]]</f>
        <v>Commodities</v>
      </c>
      <c r="E93" s="35">
        <f>ROUND(SUM(G59:G62)/100,3)</f>
        <v>1.2999999999999999E-2</v>
      </c>
      <c r="F93" s="48" t="str">
        <f>Table132[[#This Row],[Symbol]]</f>
        <v>Commodities</v>
      </c>
      <c r="G93" s="35">
        <f>SUM(H59:H62)/(G79*C21)</f>
        <v>1.2673669241370741E-2</v>
      </c>
      <c r="H93" s="35"/>
      <c r="I93" s="30"/>
      <c r="K93"/>
      <c r="L93"/>
      <c r="M93"/>
      <c r="N93"/>
      <c r="O93"/>
      <c r="P93"/>
      <c r="Q93"/>
    </row>
    <row r="94" spans="1:17" ht="14.25" customHeight="1" x14ac:dyDescent="0.25">
      <c r="A94" s="45" t="s">
        <v>37</v>
      </c>
      <c r="B94" s="45"/>
      <c r="C94" s="46"/>
      <c r="D94" s="48" t="str">
        <f>Table132[[#This Row],[Symbol]]</f>
        <v>Crypto</v>
      </c>
      <c r="E94" s="54">
        <f>ROUND(SUM(G74:G75)/100,3)</f>
        <v>0.01</v>
      </c>
      <c r="F94" s="48" t="str">
        <f>Table132[[#This Row],[Symbol]]</f>
        <v>Crypto</v>
      </c>
      <c r="G94" s="35">
        <f>SUM(H74:H75)/(G79*C21)</f>
        <v>1.0334435027899391E-2</v>
      </c>
      <c r="H94" s="47"/>
      <c r="I94" s="53"/>
      <c r="K94"/>
      <c r="L94"/>
      <c r="M94"/>
      <c r="N94"/>
      <c r="O94"/>
      <c r="P94"/>
      <c r="Q94"/>
    </row>
    <row r="95" spans="1:17" ht="14.25" customHeight="1" x14ac:dyDescent="0.25">
      <c r="A95" s="35" t="s">
        <v>23</v>
      </c>
      <c r="B95" s="35"/>
      <c r="C95" s="35"/>
      <c r="D95" s="48" t="str">
        <f>Table132[[#This Row],[Symbol]]</f>
        <v>Cash</v>
      </c>
      <c r="E95" s="35">
        <f>1-SUM(E80:E94)</f>
        <v>0.27799999999999991</v>
      </c>
      <c r="F95" s="48" t="str">
        <f>Table132[[#This Row],[Symbol]]</f>
        <v>Cash</v>
      </c>
      <c r="G95" s="35">
        <f>1-SUM(G80:G94)</f>
        <v>0.27719040738595813</v>
      </c>
      <c r="H95" s="35"/>
      <c r="I95" s="28"/>
      <c r="K95"/>
      <c r="L95"/>
      <c r="M95"/>
      <c r="N95"/>
      <c r="O95"/>
      <c r="P95"/>
      <c r="Q95"/>
    </row>
    <row r="96" spans="1:17" x14ac:dyDescent="0.25">
      <c r="A96" s="25" t="s">
        <v>29</v>
      </c>
      <c r="B96" s="25"/>
      <c r="C96" s="33"/>
      <c r="D96" s="32"/>
      <c r="E96" s="25">
        <f>C21*E95</f>
        <v>12754731.461999996</v>
      </c>
      <c r="F96" s="32"/>
      <c r="G96" s="35">
        <f>C21*G95</f>
        <v>12717587.086511789</v>
      </c>
      <c r="H96" s="40"/>
      <c r="I96" s="31"/>
      <c r="K96"/>
      <c r="L96"/>
      <c r="M96"/>
      <c r="N96"/>
      <c r="O96"/>
      <c r="P96"/>
      <c r="Q96"/>
    </row>
    <row r="97" spans="1:17" x14ac:dyDescent="0.25">
      <c r="A97" s="25"/>
      <c r="B97" s="25"/>
      <c r="C97" s="33"/>
      <c r="D97" s="25"/>
      <c r="E97" s="25"/>
      <c r="F97" s="25"/>
      <c r="G97" s="35"/>
      <c r="H97" s="40"/>
      <c r="I97" s="28"/>
      <c r="K97"/>
      <c r="L97"/>
      <c r="M97"/>
      <c r="N97"/>
      <c r="O97"/>
      <c r="P97"/>
      <c r="Q97"/>
    </row>
    <row r="98" spans="1:17" x14ac:dyDescent="0.25">
      <c r="A98" s="25"/>
      <c r="B98" s="25"/>
      <c r="C98" s="33"/>
      <c r="D98" s="25"/>
      <c r="E98" s="25"/>
      <c r="F98" s="32"/>
      <c r="G98" s="35"/>
      <c r="H98" s="40"/>
      <c r="I98" s="28"/>
      <c r="K98"/>
      <c r="L98"/>
      <c r="M98"/>
      <c r="N98"/>
      <c r="O98"/>
      <c r="P98"/>
      <c r="Q98"/>
    </row>
    <row r="99" spans="1:17" x14ac:dyDescent="0.25">
      <c r="A99" s="25"/>
      <c r="B99" s="25"/>
      <c r="C99" s="33"/>
      <c r="D99" s="25"/>
      <c r="E99" s="25"/>
      <c r="F99" s="32"/>
      <c r="G99" s="35"/>
      <c r="H99" s="40"/>
      <c r="I99" s="28"/>
      <c r="K99"/>
      <c r="L99"/>
      <c r="M99"/>
      <c r="N99"/>
      <c r="O99"/>
      <c r="P99"/>
      <c r="Q99"/>
    </row>
    <row r="100" spans="1:17" x14ac:dyDescent="0.25">
      <c r="A100" s="20"/>
      <c r="B100" s="5" t="s">
        <v>21</v>
      </c>
      <c r="D100" s="1"/>
      <c r="E100" s="5" t="s">
        <v>20</v>
      </c>
      <c r="F100" s="1"/>
      <c r="G100" s="5"/>
      <c r="H100" s="41" t="s">
        <v>2</v>
      </c>
      <c r="I100" s="4"/>
      <c r="K100"/>
      <c r="L100"/>
      <c r="M100"/>
      <c r="N100"/>
      <c r="O100"/>
      <c r="P100"/>
      <c r="Q100"/>
    </row>
    <row r="101" spans="1:17" x14ac:dyDescent="0.25">
      <c r="B101" s="5" t="s">
        <v>24</v>
      </c>
      <c r="D101" s="1"/>
      <c r="E101" s="5" t="s">
        <v>24</v>
      </c>
      <c r="F101" s="1"/>
      <c r="G101" s="5"/>
      <c r="H101" s="41" t="s">
        <v>3</v>
      </c>
      <c r="K101"/>
      <c r="L101"/>
      <c r="M101"/>
      <c r="N101"/>
      <c r="O101"/>
      <c r="P101"/>
      <c r="Q101"/>
    </row>
    <row r="102" spans="1:17" x14ac:dyDescent="0.25">
      <c r="B102" s="3"/>
      <c r="C102"/>
      <c r="D102" s="1"/>
      <c r="E102" s="3"/>
      <c r="F102" s="19"/>
      <c r="G102" s="3"/>
      <c r="H102" s="42"/>
      <c r="K102"/>
      <c r="L102"/>
      <c r="M102"/>
      <c r="N102"/>
      <c r="O102"/>
      <c r="P102"/>
      <c r="Q102"/>
    </row>
    <row r="103" spans="1:17" x14ac:dyDescent="0.25">
      <c r="C103"/>
      <c r="K103"/>
      <c r="L103"/>
      <c r="M103"/>
      <c r="N103"/>
      <c r="O103"/>
      <c r="P103"/>
      <c r="Q103"/>
    </row>
    <row r="104" spans="1:17" x14ac:dyDescent="0.25">
      <c r="K104"/>
      <c r="L104"/>
      <c r="M104"/>
      <c r="N104"/>
      <c r="O104"/>
      <c r="P104"/>
      <c r="Q104"/>
    </row>
    <row r="105" spans="1:17" x14ac:dyDescent="0.25">
      <c r="K105"/>
      <c r="L105"/>
      <c r="M105"/>
      <c r="N105"/>
      <c r="O105"/>
      <c r="P105"/>
      <c r="Q105"/>
    </row>
    <row r="106" spans="1:17" x14ac:dyDescent="0.25">
      <c r="K106"/>
      <c r="L106"/>
      <c r="M106"/>
      <c r="N106"/>
      <c r="O106"/>
      <c r="P106"/>
      <c r="Q106"/>
    </row>
    <row r="107" spans="1:17" x14ac:dyDescent="0.25">
      <c r="K107"/>
      <c r="L107"/>
      <c r="M107"/>
      <c r="N107"/>
      <c r="O107"/>
      <c r="P107"/>
      <c r="Q107"/>
    </row>
  </sheetData>
  <mergeCells count="15">
    <mergeCell ref="A21:B21"/>
    <mergeCell ref="A22:B22"/>
    <mergeCell ref="A1:B1"/>
    <mergeCell ref="A2:B2"/>
    <mergeCell ref="A17:B17"/>
    <mergeCell ref="A18:B18"/>
    <mergeCell ref="A19:B19"/>
    <mergeCell ref="A20:B20"/>
    <mergeCell ref="A3:B3"/>
    <mergeCell ref="A13:B13"/>
    <mergeCell ref="A15:B15"/>
    <mergeCell ref="A16:B16"/>
    <mergeCell ref="A10:B10"/>
    <mergeCell ref="A6:B6"/>
    <mergeCell ref="A9:B9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2024-01-12T11:58:28Z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