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3085" documentId="14_{A48F4B07-3EF3-43E5-91B2-4CA340E6013A}" xr6:coauthVersionLast="47" xr6:coauthVersionMax="47" xr10:uidLastSave="{C52A9618-1035-4740-A077-8CB010C020C9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 a="1"/>
  <c r="F91" i="3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F42" i="3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<sst xmlns="http://schemas.openxmlformats.org/spreadsheetml/2006/main" count="164" uniqueCount="108">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</sst>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2.5000000000000001E-2</c:v>
                </c:pt>
                <c:pt idx="1">
                  <c:v>5.6000000000000001E-2</c:v>
                </c:pt>
                <c:pt idx="2">
                  <c:v>2.1000000000000001E-2</c:v>
                </c:pt>
                <c:pt idx="3">
                  <c:v>2.8000000000000001E-2</c:v>
                </c:pt>
                <c:pt idx="4">
                  <c:v>3.7999999999999999E-2</c:v>
                </c:pt>
                <c:pt idx="5">
                  <c:v>8.9999999999999993E-3</c:v>
                </c:pt>
                <c:pt idx="6">
                  <c:v>1.4E-2</c:v>
                </c:pt>
                <c:pt idx="7">
                  <c:v>2.9000000000000001E-2</c:v>
                </c:pt>
                <c:pt idx="8">
                  <c:v>0.13200000000000001</c:v>
                </c:pt>
                <c:pt idx="9">
                  <c:v>1.4999999999999999E-2</c:v>
                </c:pt>
                <c:pt idx="10">
                  <c:v>0.04</c:v>
                </c:pt>
                <c:pt idx="11">
                  <c:v>7.1999999999999995E-2</c:v>
                </c:pt>
                <c:pt idx="12">
                  <c:v>0.218</c:v>
                </c:pt>
                <c:pt idx="13">
                  <c:v>4.3999999999999997E-2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0.23999999999999988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37" zoomScale="115" zoomScaleNormal="115" workbookViewId="0">
      <selection activeCell="E57" sqref="E5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44950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2.6519268692042335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7.6166378225823408E-2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0.20761922791365425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7.2555381582148235E-2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9.7342662336763169E-2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0.13105055078567543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3.1993744650232248E-2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4.8006898951806092E-2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0.10164731091418439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0.46049559256920997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5.056598170834592E-2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0.13853626080488546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3.6417421980790669E-2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0.25140504539406683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0.76088344955588916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3.2147162355824453E-2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0.15509379947493424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46796424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46796424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124100694.18827386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43.98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0.25700000000000001</v>
      </c>
      <c r="H26" s="40">
        <f>Table132[[#This Row],[New position]]*Table132[[#This Row],[Last_Price]]</f>
        <v>419041.43999999994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195.2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0.255</v>
      </c>
      <c r="H27" s="40">
        <f>Table132[[#This Row],[New position]]*Table132[[#This Row],[Last_Price]]</f>
        <v>415580.8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401.75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0.26500000000000001</v>
      </c>
      <c r="H28" s="40">
        <f>Table132[[#This Row],[New position]]*Table132[[#This Row],[Last_Price]]</f>
        <v>432684.75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148.01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0.26800000000000002</v>
      </c>
      <c r="H29" s="40">
        <f>Table132[[#This Row],[New position]]*Table132[[#This Row],[Last_Price]]</f>
        <v>437813.57999999996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38.369999999999997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0.11899999999999999</v>
      </c>
      <c r="H30" s="40">
        <f>Table132[[#This Row],[New position]]*Table132[[#This Row],[Last_Price]]</f>
        <v>194420.78999999998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404.23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0.379</v>
      </c>
      <c r="H31" s="40">
        <f>Table132[[#This Row],[New position]]*Table132[[#This Row],[Last_Price]]</f>
        <v>618876.13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350.78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0.214</v>
      </c>
      <c r="H32" s="40">
        <f>Table132[[#This Row],[New position]]*Table132[[#This Row],[Last_Price]]</f>
        <v>348675.31999999995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123.17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0.249</v>
      </c>
      <c r="H33" s="40">
        <f>Table132[[#This Row],[New position]]*Table132[[#This Row],[Last_Price]]</f>
        <v>406953.68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143.13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0.17799999999999999</v>
      </c>
      <c r="H34" s="40">
        <f>Table132[[#This Row],[New position]]*Table132[[#This Row],[Last_Price]]</f>
        <v>290267.64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634.99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0.35599999999999998</v>
      </c>
      <c r="H35" s="40">
        <f>Table132[[#This Row],[New position]]*Table132[[#This Row],[Last_Price]]</f>
        <v>580380.86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119.85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0.18099999999999999</v>
      </c>
      <c r="H36" s="40">
        <f>Table132[[#This Row],[New position]]*Table132[[#This Row],[Last_Price]]</f>
        <v>294831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102.2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2.6989999999999998</v>
      </c>
      <c r="H37" s="40">
        <f>Table132[[#This Row],[New position]]*Table132[[#This Row],[Last_Price]]</f>
        <v>4404820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104.54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0.92200000000000004</v>
      </c>
      <c r="H38" s="40">
        <f>Table132[[#This Row],[New position]]*Table132[[#This Row],[Last_Price]]</f>
        <v>1505166.9200000002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159.72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0.92100000000000004</v>
      </c>
      <c r="H39" s="40">
        <f>Table132[[#This Row],[New position]]*Table132[[#This Row],[Last_Price]]</f>
        <v>1503124.92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28.54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0.875</v>
      </c>
      <c r="H40" s="40">
        <f>Table132[[#This Row],[New position]]*Table132[[#This Row],[Last_Price]]</f>
        <v>1427513.72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58.92</v>
      </c>
      <c r="D41" s="35">
        <v>10892</v>
      </c>
      <c r="E41" s="35">
        <v>24634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0.88900000000000001</v>
      </c>
      <c r="H41" s="40">
        <f>Table132[[#This Row],[New position]]*Table132[[#This Row],[Last_Price]]</f>
        <v>1451435.28</v>
      </c>
      <c r="I41" s="66"/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190.63</v>
      </c>
      <c r="D42" s="35">
        <v>2600</v>
      </c>
      <c r="E42" s="35">
        <v>2600</v>
      </c>
      <c r="F42" s="34">
        <f>ROUND(Table132[[#This Row],[New position]]-Table132[[#This Row],[Old position]], -2)</f>
        <v>0</v>
      </c>
      <c r="G42" s="35">
        <f>ROUND(Table132[[#This Row],[Target allocation ($)]]/(IF(G101&gt;0, G83,E83)*C22)*100,3)</f>
        <v>0.30399999999999999</v>
      </c>
      <c r="H42" s="40">
        <f>Table132[[#This Row],[New position]]*Table132[[#This Row],[Last_Price]]</f>
        <v>495638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36.33</v>
      </c>
      <c r="D43" s="35">
        <v>39864</v>
      </c>
      <c r="E43" s="35">
        <v>39864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0.88700000000000001</v>
      </c>
      <c r="H43" s="40">
        <f>Table132[[#This Row],[New position]]*Table132[[#This Row],[Last_Price]]</f>
        <v>1448259.1199999999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36.869999999999997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2.7909999999999999</v>
      </c>
      <c r="H44" s="40">
        <f>Table132[[#This Row],[New position]]*Table132[[#This Row],[Last_Price]]</f>
        <v>4555288.5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58.28</v>
      </c>
      <c r="D45" s="35">
        <v>62673</v>
      </c>
      <c r="E45" s="35">
        <v>62673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2.238</v>
      </c>
      <c r="H45" s="40">
        <f>Table132[[#This Row],[New position]]*Table132[[#This Row],[Last_Price]]</f>
        <v>3652582.44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110.67</v>
      </c>
      <c r="D46" s="35">
        <v>22410</v>
      </c>
      <c r="E46" s="35">
        <v>22410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1.52</v>
      </c>
      <c r="H46" s="40">
        <f>Table132[[#This Row],[New position]]*Table132[[#This Row],[Last_Price]]</f>
        <v>2480114.7000000002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75.569999999999993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0.91700000000000004</v>
      </c>
      <c r="H47" s="40">
        <f>Table132[[#This Row],[New position]]*Table132[[#This Row],[Last_Price]]</f>
        <v>1497192.8399999999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227.234636871508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0.125</v>
      </c>
      <c r="H48" s="40">
        <f>Table132[[#This Row],[New position]]*Table132[[#This Row],[Last_Price]]</f>
        <v>204511.17318435721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36.035805626598503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0.33800000000000002</v>
      </c>
      <c r="H49" s="40">
        <f>Table132[[#This Row],[New position]]*Table132[[#This Row],[Last_Price]]</f>
        <v>551347.82608695712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9.2774936061381101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0.125</v>
      </c>
      <c r="H50" s="40">
        <f>Table132[[#This Row],[New position]]*Table132[[#This Row],[Last_Price]]</f>
        <v>204104.85933503843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13.4654731457801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0.129</v>
      </c>
      <c r="H51" s="40">
        <f>Table132[[#This Row],[New position]]*Table132[[#This Row],[Last_Price]]</f>
        <v>210061.38107416956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0.67135549872122802</v>
      </c>
      <c r="D52" s="35">
        <v>484000</v>
      </c>
      <c r="E52" s="35">
        <v>484000</v>
      </c>
      <c r="F52" s="34">
        <f>ROUND(Table132[[#This Row],[New position]]-Table132[[#This Row],[Old position]], -2)</f>
        <v>0</v>
      </c>
      <c r="G52" s="35">
        <f>ROUND(Table132[[#This Row],[Target allocation ($)]]/(IF(G101&gt;0, G83,E83)*C22)*100,3)</f>
        <v>0.19900000000000001</v>
      </c>
      <c r="H52" s="40">
        <f>Table132[[#This Row],[New position]]*Table132[[#This Row],[Last_Price]]</f>
        <v>324936.06138107437</v>
      </c>
      <c r="I52" s="67"/>
      <c r="K52" s="51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1.7621483375959099</v>
      </c>
      <c r="D53" s="35">
        <v>128000</v>
      </c>
      <c r="E53" s="35">
        <v>128000</v>
      </c>
      <c r="F53" s="34">
        <f>ROUND(Table132[[#This Row],[New position]]-Table132[[#This Row],[Old position]], -2)</f>
        <v>0</v>
      </c>
      <c r="G53" s="35">
        <f>ROUND(Table132[[#This Row],[Target allocation ($)]]/(IF(G101&gt;0, G83,E83)*C22)*100,3)</f>
        <v>0.13800000000000001</v>
      </c>
      <c r="H53" s="40">
        <f>Table132[[#This Row],[New position]]*Table132[[#This Row],[Last_Price]]</f>
        <v>225554.98721227646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91.29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0.154</v>
      </c>
      <c r="H54" s="40">
        <f>Table132[[#This Row],[New position]]*Table132[[#This Row],[Last_Price]]</f>
        <v>251047.50000000003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20.91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0.16800000000000001</v>
      </c>
      <c r="H55" s="40">
        <f>Table132[[#This Row],[New position]]*Table132[[#This Row],[Last_Price]]</f>
        <v>274987.40999999997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66.22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0.88</v>
      </c>
      <c r="H56" s="40">
        <f>Table132[[#This Row],[New position]]*Table132[[#This Row],[Last_Price]]</f>
        <v>1435517.16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30.14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6.3E-2</v>
      </c>
      <c r="H57" s="40">
        <f>Table132[[#This Row],[New position]]*Table132[[#This Row],[Last_Price]]</f>
        <v>102476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95.37</v>
      </c>
      <c r="D58" s="35">
        <v>33750</v>
      </c>
      <c r="E58" s="35">
        <v>33750</v>
      </c>
      <c r="F58" s="34">
        <f>Table132[[#This Row],[New position]]-Table132[[#This Row],[Old position]]</f>
        <v>0</v>
      </c>
      <c r="G58" s="35">
        <f>ROUND(Table132[[#This Row],[Target allocation ($)]]/(IF(G101&gt;0, G83,E83)*C22)*100,3)</f>
        <v>1.972</v>
      </c>
      <c r="H58" s="40">
        <f>Table132[[#This Row],[New position]]*Table132[[#This Row],[Last_Price]]</f>
        <v>3218737.5</v>
      </c>
      <c r="I58" s="67"/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426.3</v>
      </c>
      <c r="D59" s="35">
        <v>48300</v>
      </c>
      <c r="E59" s="35">
        <v>48300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12.616</v>
      </c>
      <c r="H59" s="40">
        <f>Table132[[#This Row],[New position]]*Table132[[#This Row],[Last_Price]]</f>
        <v>20590290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56.5</v>
      </c>
      <c r="D60" s="35">
        <v>16978</v>
      </c>
      <c r="E60" s="35">
        <v>16978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0.58799999999999997</v>
      </c>
      <c r="H60" s="40">
        <f>Table132[[#This Row],[New position]]*Table132[[#This Row],[Last_Price]]</f>
        <v>959257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92.72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1.45</v>
      </c>
      <c r="H61" s="40">
        <f>Table132[[#This Row],[New position]]*Table132[[#This Row],[Last_Price]]</f>
        <v>2366307.12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9.14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2.8969999999999998</v>
      </c>
      <c r="H62" s="40">
        <f>Table132[[#This Row],[New position]]*Table132[[#This Row],[Last_Price]]</f>
        <v>4727939.2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12.74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1.075</v>
      </c>
      <c r="H63" s="40">
        <f>Table132[[#This Row],[New position]]*Table132[[#This Row],[Last_Price]]</f>
        <v>1755062.4000000001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54.56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0.45600000000000002</v>
      </c>
      <c r="H64" s="40">
        <f>Table132[[#This Row],[New position]]*Table132[[#This Row],[Last_Price]]</f>
        <v>744853.12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21.34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0.39600000000000002</v>
      </c>
      <c r="H65" s="40">
        <f>Table132[[#This Row],[New position]]*Table132[[#This Row],[Last_Price]]</f>
        <v>646602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69.5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0.192</v>
      </c>
      <c r="H66" s="40">
        <f>Table132[[#This Row],[New position]]*Table132[[#This Row],[Last_Price]]</f>
        <v>312750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80.319999999999993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1.4319999999999999</v>
      </c>
      <c r="H67" s="40">
        <f>Table132[[#This Row],[New position]]*Table132[[#This Row],[Last_Price]]</f>
        <v>2336508.7999999998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71.62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1.6830000000000001</v>
      </c>
      <c r="H68" s="40">
        <f>Table132[[#This Row],[New position]]*Table132[[#This Row],[Last_Price]]</f>
        <v>2746627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94.32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1.417</v>
      </c>
      <c r="H69" s="40">
        <f>Table132[[#This Row],[New position]]*Table132[[#This Row],[Last_Price]]</f>
        <v>2312632.0799999996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109.16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1.4039999999999999</v>
      </c>
      <c r="H70" s="40">
        <f>Table132[[#This Row],[New position]]*Table132[[#This Row],[Last_Price]]</f>
        <v>2291486.7199999997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36.29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1.2729999999999999</v>
      </c>
      <c r="H71" s="40">
        <f>Table132[[#This Row],[New position]]*Table132[[#This Row],[Last_Price]]</f>
        <v>2077602.5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300.08999999999997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5.24</v>
      </c>
      <c r="H72" s="40">
        <f>Table132[[#This Row],[New position]]*Table132[[#This Row],[Last_Price]]</f>
        <v>8551964.8199999984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59.89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6.915</v>
      </c>
      <c r="H73" s="40">
        <f>Table132[[#This Row],[New position]]*Table132[[#This Row],[Last_Price]]</f>
        <v>11285551.82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410.1</v>
      </c>
      <c r="D74" s="35">
        <v>15290</v>
      </c>
      <c r="E74" s="35">
        <v>18487</v>
      </c>
      <c r="F74" s="34">
        <f>Table132[[#This Row],[New position]]-Table132[[#This Row],[Old position]]</f>
        <v>3197</v>
      </c>
      <c r="G74" s="35">
        <f>ROUND(Table132[[#This Row],[Target allocation ($)]]/(IF(G101&gt;0, G83,E83)*C22)*100,3)</f>
        <v>4.6449999999999996</v>
      </c>
      <c r="H74" s="40">
        <f>Table132[[#This Row],[New position]]*Table132[[#This Row],[Last_Price]]</f>
        <v>7581518.7000000002</v>
      </c>
      <c r="I74" s="56"/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62.53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1.401</v>
      </c>
      <c r="H75" s="40">
        <f>Table132[[#This Row],[New position]]*Table132[[#This Row],[Last_Price]]</f>
        <v>2286471.98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74.41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2.2799999999999998</v>
      </c>
      <c r="H76" s="40">
        <f>Table132[[#This Row],[New position]]*Table132[[#This Row],[Last_Price]]</f>
        <v>3720500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91.8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1.3360000000000001</v>
      </c>
      <c r="H77" s="40">
        <f>Table132[[#This Row],[New position]]*Table132[[#This Row],[Last_Price]]</f>
        <v>2180617.1999999997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36.119999999999997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0.155</v>
      </c>
      <c r="H78" s="40">
        <f>Table132[[#This Row],[New position]]*Table132[[#This Row],[Last_Price]]</f>
        <v>252912.24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127.7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0.76700000000000002</v>
      </c>
      <c r="H79" s="40">
        <f>Table132[[#This Row],[New position]]*Table132[[#This Row],[Last_Price]]</f>
        <v>1251460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188.3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4.4470000000000001</v>
      </c>
      <c r="H80" s="40">
        <f>Table132[[#This Row],[New position]]*Table132[[#This Row],[Last_Price]]</f>
        <v>7257835.2000000002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3.4877180000000001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2.5000000000000001E-2</v>
      </c>
      <c r="F84" s="48" t="str">
        <f>Table132[[#This Row],[Symbol]]</f>
        <v>SingleStocks</v>
      </c>
      <c r="G84" s="35">
        <f>SUM(H26:H35)/(G83*C22)</f>
        <v>2.539443450190932E-2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5.6000000000000001E-2</v>
      </c>
      <c r="F85" s="48" t="str">
        <f>Table132[[#This Row],[Symbol]]</f>
        <v>Healthcare</v>
      </c>
      <c r="G85" s="54">
        <f>SUM(H36:H40)/(G83*C22)</f>
        <v>5.5972696137516709E-2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2.1000000000000001E-2</v>
      </c>
      <c r="F86" s="48" t="str">
        <f>Table132[[#This Row],[Symbol]]</f>
        <v>Semiconductor</v>
      </c>
      <c r="G86" s="35">
        <f>SUM(H41:H43)/(G83*C22)</f>
        <v>2.0803110108715279E-2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2.8000000000000001E-2</v>
      </c>
      <c r="F87" s="48" t="str">
        <f>Table132[[#This Row],[Symbol]]</f>
        <v>Small Cap</v>
      </c>
      <c r="G87" s="54">
        <f>SUM(H44)/(G83*C22)</f>
        <v>2.7910129871957297E-2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3.7999999999999999E-2</v>
      </c>
      <c r="F88" s="48" t="str">
        <f>Table132[[#This Row],[Symbol]]</f>
        <v>S&amp;P</v>
      </c>
      <c r="G88" s="35">
        <f>SUM(H45:H46)/(G83*C22)</f>
        <v>3.7574870097202645E-2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9.1732601805054898E-3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1.4E-2</v>
      </c>
      <c r="F90" s="48" t="str">
        <f>Table132[[#This Row],[Symbol]]</f>
        <v>Int Stocks</v>
      </c>
      <c r="G90" s="35">
        <f>SUM(H48:H55)/(G83*C22)</f>
        <v>1.3764558646027601E-2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2.9000000000000001E-2</v>
      </c>
      <c r="F91" s="48" t="str">
        <f>Table132[[#This Row],[Symbol]]</f>
        <v>JP Stocks</v>
      </c>
      <c r="G91" s="35">
        <f>SUM(H56:H58)/(G83*C22)</f>
        <v>2.9144360557299753E-2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0.13200000000000001</v>
      </c>
      <c r="F92" s="48" t="str">
        <f>Table132[[#This Row],[Symbol]]</f>
        <v>QQQ</v>
      </c>
      <c r="G92" s="35">
        <f>SUM(H59:H60)/(G83*C22)</f>
        <v>0.13203349369679829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1.4999999999999999E-2</v>
      </c>
      <c r="F93" s="48" t="str">
        <f>Table132[[#This Row],[Symbol]]</f>
        <v>Regional Bank</v>
      </c>
      <c r="G93" s="35">
        <f>SUM(H61)/(G83*C22)</f>
        <v>1.4498299950955302E-2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0.04</v>
      </c>
      <c r="F94" s="48" t="str">
        <f>Table132[[#This Row],[Symbol]]</f>
        <v>Short</v>
      </c>
      <c r="G94" s="35">
        <f>SUM(H62:H63)/(G83*C22)</f>
        <v>3.9721176082723846E-2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7.1999999999999995E-2</v>
      </c>
      <c r="F95" s="48" t="str">
        <f>Table132[[#This Row],[Symbol]]</f>
        <v>Bonds</v>
      </c>
      <c r="G95" s="35">
        <f>(SUM(H67:H69)+SUM(H70:H71))/(G83*C22)</f>
        <v>7.2082962382298915E-2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0.218</v>
      </c>
      <c r="F96" s="48" t="str">
        <f>Table132[[#This Row],[Symbol]]</f>
        <v>Core</v>
      </c>
      <c r="G96" s="35">
        <f>(SUM(H72:H75)+SUM(H76:H77))/(G83*C22)</f>
        <v>0.21816082881583002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4.3999999999999997E-2</v>
      </c>
      <c r="F97" s="48" t="str">
        <f>Table132[[#This Row],[Symbol]]</f>
        <v>Gold</v>
      </c>
      <c r="G97" s="35">
        <f>SUM(H80)/(G83*C22)</f>
        <v>4.4468560667730084E-2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0.01</v>
      </c>
      <c r="F98" s="48" t="str">
        <f>Table132[[#This Row],[Symbol]]</f>
        <v>Commodities</v>
      </c>
      <c r="G98" s="35">
        <f>SUM(H64:H66)/(G83*C22)</f>
        <v>1.0441618840970134E-2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8.9999999999999993E-3</v>
      </c>
      <c r="F99" s="48" t="str">
        <f>Table132[[#This Row],[Symbol]]</f>
        <v>Crypto</v>
      </c>
      <c r="G99" s="35">
        <f>SUM(H78:H79)/(G83*C22)</f>
        <v>9.2172481708166915E-3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0.23999999999999988</v>
      </c>
      <c r="F100" s="48" t="str">
        <f>Table132[[#This Row],[Symbol]]</f>
        <v>Cash</v>
      </c>
      <c r="G100" s="35">
        <f>1-SUM(G84:G99)</f>
        <v>0.2396383912907426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11231141.759999994</v>
      </c>
      <c r="F101" s="32"/>
      <c r="G101" s="35">
        <f>C22*G100</f>
        <v>11214219.765519498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2024-01-25T10:28:20Z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