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580" documentId="14_{A48F4B07-3EF3-43E5-91B2-4CA340E6013A}" xr6:coauthVersionLast="47" xr6:coauthVersionMax="47" xr10:uidLastSave="{F39C0648-D8E0-48BC-A5EE-93D664B8D5D8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3" l="1"/>
  <c r="H43" i="3" l="1"/>
  <c r="F43" i="3"/>
  <c r="E68" i="3"/>
  <c r="E65" i="3"/>
  <c r="E59" i="3"/>
  <c r="H27" i="3"/>
  <c r="F27" i="3"/>
  <c r="E56" i="3"/>
  <c r="H28" i="3"/>
  <c r="H29" i="3"/>
  <c r="F28" i="3"/>
  <c r="F29" i="3"/>
  <c r="F37" i="3" l="1"/>
  <c r="H37" i="3"/>
  <c r="E64" i="3" l="1"/>
  <c r="E61" i="3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3" i="3" l="1"/>
  <c r="G66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G64" i="3"/>
  <c r="C11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6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G34" i="3" l="1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<sst xmlns="http://schemas.openxmlformats.org/spreadsheetml/2006/main" count="113" uniqueCount="84">
  <si>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</si>
  <si>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</si>
  <si>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</si>
  <si>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</si>
  <si>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</si>
  <si>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</si>
  <si>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</si>
  <si>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</si>
  <si>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</si>
  <si>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</si>
  <si>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</si>
  <si>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</si>
  <si>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</si>
  <si>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</si>
  <si>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</si>
  <si>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</si>
  <si>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</si>
  <si>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</si>
  <si>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</si>
  <si>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</si>
  <si>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</si>
  <si>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</si>
  <si>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</si>
  <si>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</si>
  <si>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</si>
  <si>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</si>
  <si>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</si>
  <si>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</si>
  <si>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</si>
  <si>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</si>
  <si>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</si>
  <si>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</si>
  <si>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</si>
  <si>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</si>
  <si>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</si>
  <si>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</si>
  <si>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</si>
  <si>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</si>
  <si>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</si>
  <si>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</si>
  <si>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</si>
  <si>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</si>
  <si>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</si>
  <si>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</si>
  <si>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</si>
  <si>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</si>
  <si>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</si>
  <si>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</si>
  <si>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</si>
  <si>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</si>
  <si>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</si>
  <si>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</si>
  <si>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</si>
  <si>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</si>
  <si>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</si>
  <si>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</si>
  <si>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</si>
  <si>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</si>
  <si>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</si>
  <si>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</si>
  <si>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</si>
  <si>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</si>
  <si>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</si>
  <si>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</si>
  <si>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</si>
  <si>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</si>
  <si>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</si>
  <si>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</si>
  <si>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</si>
  <si>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</si>
  <si>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</si>
  <si>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</si>
  <si>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</si>
  <si>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</si>
  <si>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</si>
  <si>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</si>
  <si>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</si>
  <si>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</si>
  <si>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</si>
  <si>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</si>
  <si>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</si>
  <si>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Market</t>
  </si>
  <si>
    <t>XLV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</si>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</sst>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2.7E-2</c:v>
                </c:pt>
                <c:pt idx="2">
                  <c:v>5.8000000000000003E-2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5.0999999999999997E-2</c:v>
                </c:pt>
                <c:pt idx="7">
                  <c:v>5.8999999999999997E-2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3.6999999999999998E-2</c:v>
                </c:pt>
                <c:pt idx="15">
                  <c:v>8.0000000000000002E-3</c:v>
                </c:pt>
                <c:pt idx="16">
                  <c:v>0.63500000000000001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45331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1.4636737791814698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39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64</v>
      </c>
      <c r="B4" s="57"/>
      <c r="C4" s="15">
        <f>SUM(H26:H27)/C22</f>
        <v>0.10710496029837317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52</v>
      </c>
      <c r="B5" s="57"/>
      <c r="C5" s="15">
        <f>SUM(H28:H30)/C22</f>
        <v>0.23153697746175017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50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47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51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41</v>
      </c>
      <c r="B9" s="104"/>
      <c r="C9" s="15">
        <f>SUM(H31:H39)/C22</f>
        <v>0.2052833283705626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74</v>
      </c>
      <c r="B10" s="104"/>
      <c r="C10" s="15">
        <f>SUM(H40:H42)/C22</f>
        <v>0.23622787342586032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58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66</v>
      </c>
      <c r="B13" s="57"/>
      <c r="C13" s="15">
        <f>SUM(H43)/C22</f>
        <v>2.1220396479218584E-2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0.14875097547092997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0.32501529993255385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68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38</v>
      </c>
      <c r="B17" s="102"/>
      <c r="C17" s="15">
        <f>SUM(H51:H51)/C22</f>
        <v>3.3501801037776148E-2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40</v>
      </c>
      <c r="B18" s="104"/>
      <c r="C18" s="15">
        <f>SUM(H52)/C22</f>
        <v>0.15503216670444522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46829945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46829945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68543762.577010378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77</v>
      </c>
      <c r="K25" s="94" t="s">
        <v>78</v>
      </c>
    </row>
    <row r="26" spans="1:17" x14ac:dyDescent="0.25">
      <c r="A26" s="34" t="s">
        <v>63</v>
      </c>
      <c r="B26" s="34" t="s">
        <v>14</v>
      </c>
      <c r="C26" s="95">
        <v>93.35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2.1480000000000001</v>
      </c>
      <c r="H26" s="39">
        <f>Table132[[#This Row],[New position]]*Table132[[#This Row],[Last_Price]]</f>
        <v>4023384.9999999995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82</v>
      </c>
      <c r="B27" s="34" t="s">
        <v>14</v>
      </c>
      <c r="C27" s="95">
        <v>143.9</v>
      </c>
      <c r="D27" s="34">
        <v>6896</v>
      </c>
      <c r="E27" s="34">
        <v>6896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0.53</v>
      </c>
      <c r="H27" s="39">
        <f>Table132[[#This Row],[New position]]*Table132[[#This Row],[Last_Price]]</f>
        <v>992334.4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79</v>
      </c>
      <c r="B28" s="44" t="s">
        <v>14</v>
      </c>
      <c r="C28" s="95">
        <v>697.5</v>
      </c>
      <c r="D28" s="34">
        <v>700</v>
      </c>
      <c r="E28" s="34">
        <v>700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0.26100000000000001</v>
      </c>
      <c r="H28" s="39">
        <f>Table132[[#This Row],[New position]]*Table132[[#This Row],[Last_Price]]</f>
        <v>488250</v>
      </c>
      <c r="I28" s="27"/>
      <c r="J28" s="96"/>
      <c r="K28" s="96"/>
      <c r="L28"/>
      <c r="M28"/>
      <c r="N28"/>
      <c r="O28"/>
      <c r="P28"/>
      <c r="Q28"/>
    </row>
    <row r="29" spans="1:17" x14ac:dyDescent="0.25">
      <c r="A29" s="44" t="s">
        <v>80</v>
      </c>
      <c r="B29" s="44" t="s">
        <v>14</v>
      </c>
      <c r="C29" s="95">
        <v>199.78</v>
      </c>
      <c r="D29" s="34">
        <v>2500</v>
      </c>
      <c r="E29" s="34">
        <v>2500</v>
      </c>
      <c r="F29" s="33">
        <f>Table132[[#This Row],[New position]]-Table132[[#This Row],[Old position]]</f>
        <v>0</v>
      </c>
      <c r="G29" s="34">
        <f>ROUND(Table132[[#This Row],[Target allocation ($)]]/(IF(G73&gt;0, G55,E55)*C22)*100,3)</f>
        <v>0.26700000000000002</v>
      </c>
      <c r="H29" s="39">
        <f>Table132[[#This Row],[New position]]*Table132[[#This Row],[Last_Price]]</f>
        <v>499450</v>
      </c>
      <c r="I29" s="27"/>
      <c r="J29" s="96"/>
      <c r="K29" s="96"/>
      <c r="L29"/>
      <c r="M29"/>
      <c r="N29"/>
      <c r="O29"/>
      <c r="P29"/>
      <c r="Q29"/>
    </row>
    <row r="30" spans="1:17" x14ac:dyDescent="0.25">
      <c r="A30" s="34" t="s">
        <v>69</v>
      </c>
      <c r="B30" s="34" t="s">
        <v>14</v>
      </c>
      <c r="C30" s="95">
        <v>63.28</v>
      </c>
      <c r="D30" s="34">
        <v>141997</v>
      </c>
      <c r="E30" s="34">
        <v>155739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5.2610000000000001</v>
      </c>
      <c r="H30" s="39">
        <f>Table132[[#This Row],[New position]]*Table132[[#This Row],[Last_Price]]</f>
        <v>9855163.9199999999</v>
      </c>
      <c r="I30" s="27"/>
      <c r="J30" s="96" t="s">
        <v>81</v>
      </c>
      <c r="K30" s="96">
        <v>63.46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0.114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36.7263427109974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0.3</v>
      </c>
      <c r="H32" s="39">
        <f>Table132[[#This Row],[New position]]*Table132[[#This Row],[Last_Price]]</f>
        <v>561913.04347826028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8.8618925831202002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0.104</v>
      </c>
      <c r="H33" s="39">
        <f>Table132[[#This Row],[New position]]*Table132[[#This Row],[Last_Price]]</f>
        <v>194961.6368286444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12.9411764705882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0.108</v>
      </c>
      <c r="H34" s="39">
        <f>Table132[[#This Row],[New position]]*Table132[[#This Row],[Last_Price]]</f>
        <v>201882.35294117592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0.71994884910485901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0.64700000000000002</v>
      </c>
      <c r="H35" s="39">
        <f>Table132[[#This Row],[New position]]*Table132[[#This Row],[Last_Price]]</f>
        <v>1212393.8618925826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1.8516624040920699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0.75700000000000001</v>
      </c>
      <c r="H36" s="39">
        <f>Table132[[#This Row],[New position]]*Table132[[#This Row],[Last_Price]]</f>
        <v>1418373.4015345257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76</v>
      </c>
      <c r="B37" s="34" t="s">
        <v>14</v>
      </c>
      <c r="C37" s="46">
        <v>43.7</v>
      </c>
      <c r="D37">
        <v>103449</v>
      </c>
      <c r="E37">
        <v>122898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2.867</v>
      </c>
      <c r="H37" s="39">
        <f>Table132[[#This Row],[New position]]*Table132[[#This Row],[Last_Price]]</f>
        <v>5370642.6000000006</v>
      </c>
      <c r="I37" s="66"/>
      <c r="J37" s="96" t="s">
        <v>81</v>
      </c>
      <c r="K37" s="98">
        <v>43.61</v>
      </c>
      <c r="L37"/>
      <c r="M37"/>
      <c r="N37"/>
      <c r="O37"/>
      <c r="P37"/>
      <c r="Q37"/>
    </row>
    <row r="38" spans="1:17" x14ac:dyDescent="0.25">
      <c r="A38" s="34" t="s">
        <v>59</v>
      </c>
      <c r="B38" s="34" t="s">
        <v>14</v>
      </c>
      <c r="C38" s="46">
        <v>89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7.8E-2</v>
      </c>
      <c r="H38" s="39">
        <f>Table132[[#This Row],[New position]]*Table132[[#This Row],[Last_Price]]</f>
        <v>146850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61</v>
      </c>
      <c r="B39" s="34" t="s">
        <v>14</v>
      </c>
      <c r="C39" s="46">
        <v>22.22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0.156</v>
      </c>
      <c r="H39" s="39">
        <f>Table132[[#This Row],[New position]]*Table132[[#This Row],[Last_Price]]</f>
        <v>292215.21999999997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60</v>
      </c>
      <c r="B40" s="44" t="s">
        <v>14</v>
      </c>
      <c r="C40" s="46">
        <v>66.400000000000006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0.76800000000000002</v>
      </c>
      <c r="H40" s="39">
        <f>Table132[[#This Row],[New position]]*Table132[[#This Row],[Last_Price]]</f>
        <v>1439419.2000000002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71</v>
      </c>
      <c r="B41" s="44" t="s">
        <v>14</v>
      </c>
      <c r="C41" s="46">
        <v>30.58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5.6000000000000001E-2</v>
      </c>
      <c r="H41" s="39">
        <f>Table132[[#This Row],[New position]]*Table132[[#This Row],[Last_Price]]</f>
        <v>103972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72</v>
      </c>
      <c r="B42" s="34" t="s">
        <v>14</v>
      </c>
      <c r="C42" s="46">
        <v>97.84</v>
      </c>
      <c r="D42" s="34">
        <v>88943</v>
      </c>
      <c r="E42" s="34">
        <v>97293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5.0819999999999999</v>
      </c>
      <c r="H42" s="39">
        <f>Table132[[#This Row],[New position]]*Table132[[#This Row],[Last_Price]]</f>
        <v>9519147.120000001</v>
      </c>
      <c r="I42" s="49"/>
      <c r="J42" s="96" t="s">
        <v>81</v>
      </c>
      <c r="K42" s="98">
        <v>98.03</v>
      </c>
      <c r="L42"/>
      <c r="M42"/>
      <c r="N42"/>
      <c r="O42"/>
      <c r="P42"/>
      <c r="Q42"/>
    </row>
    <row r="43" spans="1:17" x14ac:dyDescent="0.25">
      <c r="A43" s="44" t="s">
        <v>83</v>
      </c>
      <c r="B43" s="34" t="s">
        <v>14</v>
      </c>
      <c r="C43" s="46">
        <v>12.5</v>
      </c>
      <c r="D43" s="34">
        <v>79500</v>
      </c>
      <c r="E43" s="34">
        <v>79500</v>
      </c>
      <c r="F43" s="31">
        <f>ROUND(Table132[[#This Row],[New position]]-Table132[[#This Row],[Old position]], -2)</f>
        <v>0</v>
      </c>
      <c r="G43" s="34">
        <f>ROUND(Table132[[#This Row],[Target allocation ($)]]/(IF(G73&gt;0, G55,E55)*C22)*100,3)</f>
        <v>0.53100000000000003</v>
      </c>
      <c r="H43" s="39">
        <f>Table132[[#This Row],[New position]]*Table132[[#This Row],[Last_Price]]</f>
        <v>993750</v>
      </c>
      <c r="I43" s="100"/>
      <c r="J43" s="96"/>
      <c r="K43" s="98"/>
      <c r="L43"/>
      <c r="M43"/>
      <c r="N43"/>
      <c r="O43"/>
      <c r="P43"/>
      <c r="Q43"/>
    </row>
    <row r="44" spans="1:17" x14ac:dyDescent="0.25">
      <c r="A44" s="44" t="s">
        <v>32</v>
      </c>
      <c r="B44" s="34" t="s">
        <v>14</v>
      </c>
      <c r="C44" s="46">
        <v>54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3.7189999999999999</v>
      </c>
      <c r="H44" s="39">
        <f>Table132[[#This Row],[New position]]*Table132[[#This Row],[Last_Price]]</f>
        <v>6966000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80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1.5509999999999999</v>
      </c>
      <c r="H45" s="39">
        <f>Table132[[#This Row],[New position]]*Table132[[#This Row],[Last_Price]]</f>
        <v>2904960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34</v>
      </c>
      <c r="B46" s="44" t="s">
        <v>14</v>
      </c>
      <c r="C46" s="46">
        <v>71.849999999999994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1.4710000000000001</v>
      </c>
      <c r="H46" s="39">
        <f>Table132[[#This Row],[New position]]*Table132[[#This Row],[Last_Price]]</f>
        <v>2755447.5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42</v>
      </c>
      <c r="B47" s="44" t="s">
        <v>14</v>
      </c>
      <c r="C47" s="46">
        <v>94.18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1.508</v>
      </c>
      <c r="H47" s="39">
        <f>Table132[[#This Row],[New position]]*Table132[[#This Row],[Last_Price]]</f>
        <v>2825400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45</v>
      </c>
      <c r="B48" s="44" t="s">
        <v>14</v>
      </c>
      <c r="C48" s="46">
        <v>108.3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1.5449999999999999</v>
      </c>
      <c r="H48" s="39">
        <f>Table132[[#This Row],[New position]]*Table132[[#This Row],[Last_Price]]</f>
        <v>2894317.5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53</v>
      </c>
      <c r="B49" s="44" t="s">
        <v>14</v>
      </c>
      <c r="C49" s="46">
        <v>36.32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1.5189999999999999</v>
      </c>
      <c r="H49" s="39">
        <f>Table132[[#This Row],[New position]]*Table132[[#This Row],[Last_Price]]</f>
        <v>2844727.68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75</v>
      </c>
      <c r="B50" s="44" t="s">
        <v>14</v>
      </c>
      <c r="C50" s="46">
        <v>47.38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0.53100000000000003</v>
      </c>
      <c r="H50" s="39">
        <f>Table132[[#This Row],[New position]]*Table132[[#This Row],[Last_Price]]</f>
        <v>995595.94000000006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70</v>
      </c>
      <c r="B51" s="44" t="s">
        <v>14</v>
      </c>
      <c r="C51" s="46">
        <v>133.75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0.83799999999999997</v>
      </c>
      <c r="H51" s="39">
        <f>Table132[[#This Row],[New position]]*Table132[[#This Row],[Last_Price]]</f>
        <v>1568887.5</v>
      </c>
      <c r="I51" s="26"/>
      <c r="J51" s="98"/>
      <c r="K51" s="98"/>
      <c r="L51"/>
      <c r="M51"/>
      <c r="N51"/>
      <c r="O51"/>
      <c r="P51"/>
      <c r="Q51"/>
    </row>
    <row r="52" spans="1:17" x14ac:dyDescent="0.25">
      <c r="A52" s="44" t="s">
        <v>46</v>
      </c>
      <c r="B52" s="44" t="s">
        <v>14</v>
      </c>
      <c r="C52" s="46">
        <v>188.36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3.8759999999999999</v>
      </c>
      <c r="H52" s="39">
        <f>Table132[[#This Row],[New position]]*Table132[[#This Row],[Last_Price]]</f>
        <v>7260147.8400000008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43</v>
      </c>
      <c r="F54" s="31"/>
      <c r="G54" s="55" t="s">
        <v>44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31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35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65</v>
      </c>
      <c r="B57" s="44"/>
      <c r="C57" s="45"/>
      <c r="D57" s="47" t="str">
        <f>Table132[[#This Row],[Symbol]]</f>
        <v>Healthcare</v>
      </c>
      <c r="E57" s="34">
        <f>ROUND(SUM(G26:G27)/100, 3)</f>
        <v>2.7E-2</v>
      </c>
      <c r="F57" s="47" t="str">
        <f>Table132[[#This Row],[Symbol]]</f>
        <v>Healthcare</v>
      </c>
      <c r="G57" s="51">
        <f>SUM(H26:H27)/(G55*C22)</f>
        <v>2.6776240074593293E-2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55</v>
      </c>
      <c r="B58" s="44"/>
      <c r="C58" s="45"/>
      <c r="D58" s="47" t="str">
        <f>Table132[[#This Row],[Symbol]]</f>
        <v>Semiconductor</v>
      </c>
      <c r="E58" s="34">
        <f>ROUND(SUM(G28:G30)/100, 3)</f>
        <v>5.8000000000000003E-2</v>
      </c>
      <c r="F58" s="47" t="str">
        <f>Table132[[#This Row],[Symbol]]</f>
        <v>Semiconductor</v>
      </c>
      <c r="G58" s="51">
        <f>SUM(H28:H30)/(G55*C22)</f>
        <v>5.7884244365437543E-2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56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48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49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54</v>
      </c>
      <c r="B62" s="44"/>
      <c r="C62" s="45"/>
      <c r="D62" s="47" t="str">
        <f>Table132[[#This Row],[Symbol]]</f>
        <v>Int Stocks</v>
      </c>
      <c r="E62" s="34">
        <f>ROUND(SUM(G31:G39)/100, 3)</f>
        <v>5.0999999999999997E-2</v>
      </c>
      <c r="F62" s="47" t="str">
        <f>Table132[[#This Row],[Symbol]]</f>
        <v>Int Stocks</v>
      </c>
      <c r="G62" s="34">
        <f>SUM(H31:H39)/(G55*C22)</f>
        <v>5.1320832092640649E-2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73</v>
      </c>
      <c r="B63" s="44"/>
      <c r="C63" s="45"/>
      <c r="D63" s="47" t="str">
        <f>Table132[[#This Row],[Symbol]]</f>
        <v>JP Stocks</v>
      </c>
      <c r="E63" s="34">
        <f>ROUND(SUM(G40:G42)/100, 3)</f>
        <v>5.8999999999999997E-2</v>
      </c>
      <c r="F63" s="47" t="str">
        <f>Table132[[#This Row],[Symbol]]</f>
        <v>JP Stocks</v>
      </c>
      <c r="G63" s="51">
        <f>SUM(H40:H42)/(G55*C22)</f>
        <v>5.9056968356465081E-2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11</v>
      </c>
      <c r="B64" s="44"/>
      <c r="C64" s="45"/>
      <c r="D64" s="47" t="str">
        <f>Table132[[#This Row],[Symbol]]</f>
        <v>QQQ</v>
      </c>
      <c r="E64" s="51">
        <f>ROUND(0/100, 3)</f>
        <v>0</v>
      </c>
      <c r="F64" s="47" t="str">
        <f>Table132[[#This Row],[Symbol]]</f>
        <v>QQQ</v>
      </c>
      <c r="G64" s="34">
        <f>SUM(0)/(G55*C22)</f>
        <v>0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57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62</v>
      </c>
      <c r="B66" s="44"/>
      <c r="C66" s="45"/>
      <c r="D66" s="47" t="str">
        <f>Table132[[#This Row],[Symbol]]</f>
        <v>Short</v>
      </c>
      <c r="E66" s="34">
        <f>ROUND(SUM(G43)/100, 3)</f>
        <v>5.0000000000000001E-3</v>
      </c>
      <c r="F66" s="47" t="str">
        <f>Table132[[#This Row],[Symbol]]</f>
        <v>Short</v>
      </c>
      <c r="G66" s="34">
        <f>SUM(H43)/(G55*C22)</f>
        <v>5.305099119804646E-3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8.1000000000000003E-2</v>
      </c>
      <c r="F67" s="47" t="str">
        <f>Table132[[#This Row],[Symbol]]</f>
        <v>Bonds</v>
      </c>
      <c r="G67" s="51">
        <f>(SUM(H45:H50))/(G55*C22)</f>
        <v>8.1253824983138462E-2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67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37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3.8758041676111306E-2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3.6999999999999998E-2</v>
      </c>
      <c r="F70" s="47" t="str">
        <f>Table132[[#This Row],[Symbol]]</f>
        <v>Commodities</v>
      </c>
      <c r="G70" s="34">
        <f>SUM(H44)/(G55*C22)</f>
        <v>3.7187743867732492E-2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36</v>
      </c>
      <c r="B71" s="44"/>
      <c r="C71" s="45"/>
      <c r="D71" s="47" t="str">
        <f>Table132[[#This Row],[Symbol]]</f>
        <v>Crypto</v>
      </c>
      <c r="E71" s="51">
        <f>ROUND(SUM(G51:G51)/100,3)</f>
        <v>8.0000000000000002E-3</v>
      </c>
      <c r="F71" s="47" t="str">
        <f>Table132[[#This Row],[Symbol]]</f>
        <v>Crypto</v>
      </c>
      <c r="G71" s="51">
        <f>SUM(H51:H51)/(G55*C22)</f>
        <v>8.375450259444037E-3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0.63500000000000001</v>
      </c>
      <c r="F72" s="47" t="str">
        <f>Table132[[#This Row],[Symbol]]</f>
        <v>Cash</v>
      </c>
      <c r="G72" s="34">
        <f>1-SUM(G56:G71)</f>
        <v>0.63408155520463261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29737015.074999999</v>
      </c>
      <c r="F73" s="31"/>
      <c r="G73" s="34">
        <f>C22*G72</f>
        <v>29694004.355747409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