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703" documentId="14_{A48F4B07-3EF3-43E5-91B2-4CA340E6013A}" xr6:coauthVersionLast="47" xr6:coauthVersionMax="47" xr10:uidLastSave="{53C56F99-5F58-484B-A0A2-5BC37031DFC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F43" i="3"/>
  <c r="C13" i="3"/>
  <c r="G66" i="3"/>
  <c r="E66" i="3"/>
  <c r="H43" i="3" l="1"/>
  <c r="E68" i="3"/>
  <c r="E65" i="3"/>
  <c r="E59" i="3"/>
  <c r="H27" i="3"/>
  <c r="F27" i="3"/>
  <c r="E56" i="3"/>
  <c r="H28" i="3"/>
  <c r="H29" i="3"/>
  <c r="F28" i="3"/>
  <c r="F29" i="3"/>
  <c r="F37" i="3" l="1"/>
  <c r="H37" i="3"/>
  <c r="E61" i="3" l="1"/>
  <c r="E60" i="3"/>
  <c r="F41" i="3"/>
  <c r="F63" i="3" l="1"/>
  <c r="D63" i="3"/>
  <c r="F52" i="3" l="1"/>
  <c r="H52" i="3"/>
  <c r="H41" i="3" l="1"/>
  <c r="H40" i="3"/>
  <c r="F40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6" i="3"/>
  <c r="F36" i="3"/>
  <c r="F38" i="3"/>
  <c r="F39" i="3"/>
  <c r="H38" i="3"/>
  <c r="H39" i="3"/>
  <c r="F35" i="3" l="1"/>
  <c r="H35" i="3"/>
  <c r="F66" i="3"/>
  <c r="D56" i="3" l="1"/>
  <c r="F62" i="3"/>
  <c r="F60" i="3"/>
  <c r="F59" i="3"/>
  <c r="F58" i="3"/>
  <c r="F56" i="3"/>
  <c r="F65" i="3"/>
  <c r="F51" i="3"/>
  <c r="F61" i="3" l="1"/>
  <c r="F64" i="3"/>
  <c r="F67" i="3"/>
  <c r="F69" i="3"/>
  <c r="F70" i="3"/>
  <c r="F71" i="3"/>
  <c r="F72" i="3"/>
  <c r="H47" i="3" l="1"/>
  <c r="H46" i="3" l="1"/>
  <c r="H48" i="3"/>
  <c r="H49" i="3"/>
  <c r="H50" i="3"/>
  <c r="H51" i="3"/>
  <c r="F46" i="3"/>
  <c r="F47" i="3"/>
  <c r="F48" i="3"/>
  <c r="F49" i="3"/>
  <c r="F50" i="3"/>
  <c r="F31" i="3" l="1"/>
  <c r="F32" i="3"/>
  <c r="F33" i="3"/>
  <c r="F42" i="3"/>
  <c r="F44" i="3"/>
  <c r="F45" i="3"/>
  <c r="H44" i="3"/>
  <c r="H45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G64" i="3" s="1"/>
  <c r="C16" i="3" l="1"/>
  <c r="G68" i="3"/>
  <c r="G65" i="3"/>
  <c r="C12" i="3"/>
  <c r="C6" i="3"/>
  <c r="G59" i="3"/>
  <c r="G56" i="3"/>
  <c r="C3" i="3"/>
  <c r="C9" i="3"/>
  <c r="C5" i="3"/>
  <c r="G58" i="3"/>
  <c r="C10" i="3"/>
  <c r="C18" i="3"/>
  <c r="C17" i="3"/>
  <c r="C15" i="3"/>
  <c r="G69" i="3"/>
  <c r="G67" i="3"/>
  <c r="G71" i="3"/>
  <c r="G70" i="3"/>
  <c r="C14" i="3"/>
  <c r="C7" i="3"/>
  <c r="G60" i="3"/>
  <c r="C8" i="3"/>
  <c r="G61" i="3"/>
  <c r="G63" i="3"/>
  <c r="G62" i="3"/>
  <c r="C4" i="3"/>
  <c r="G57" i="3"/>
  <c r="C2" i="3"/>
  <c r="G72" i="3" l="1"/>
  <c r="G73" i="3" s="1"/>
  <c r="G43" i="3" l="1"/>
  <c r="E64" i="3" s="1"/>
  <c r="G42" i="3"/>
  <c r="G26" i="3"/>
  <c r="G27" i="3"/>
  <c r="G29" i="3"/>
  <c r="G28" i="3"/>
  <c r="G40" i="3"/>
  <c r="G41" i="3"/>
  <c r="G45" i="3"/>
  <c r="G31" i="3"/>
  <c r="G49" i="3"/>
  <c r="G35" i="3"/>
  <c r="E55" i="3"/>
  <c r="G47" i="3"/>
  <c r="G51" i="3"/>
  <c r="G32" i="3"/>
  <c r="G48" i="3"/>
  <c r="G44" i="3"/>
  <c r="E70" i="3" s="1"/>
  <c r="G46" i="3"/>
  <c r="G38" i="3"/>
  <c r="E57" i="3" l="1"/>
  <c r="G34" i="3"/>
  <c r="G52" i="3"/>
  <c r="E69" i="3" s="1"/>
  <c r="G50" i="3"/>
  <c r="E67" i="3" s="1"/>
  <c r="G33" i="3"/>
  <c r="G30" i="3"/>
  <c r="E58" i="3" s="1"/>
  <c r="G37" i="3"/>
  <c r="G39" i="3"/>
  <c r="G36" i="3"/>
  <c r="E71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<sst xmlns="http://schemas.openxmlformats.org/spreadsheetml/2006/main" count="116" uniqueCount="84">
  <si>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</si>
  <si>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</si>
  <si>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</si>
  <si>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</si>
  <si>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</si>
  <si>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</si>
  <si>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</si>
  <si>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</si>
  <si>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</si>
  <si>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</si>
  <si>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</si>
  <si>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</si>
  <si>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</si>
  <si>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</si>
  <si>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</si>
  <si>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</si>
  <si>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</si>
  <si>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</si>
  <si>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</si>
  <si>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</si>
  <si>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</si>
  <si>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</si>
  <si>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</si>
  <si>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</si>
  <si>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</si>
  <si>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</si>
  <si>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</si>
  <si>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</si>
  <si>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</si>
  <si>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</si>
  <si>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</si>
  <si>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</si>
  <si>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</si>
  <si>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</si>
  <si>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</si>
  <si>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</si>
  <si>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</si>
  <si>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</si>
  <si>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</si>
  <si>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</si>
  <si>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</si>
  <si>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</si>
  <si>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</si>
  <si>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</si>
  <si>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</si>
  <si>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</si>
  <si>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</si>
  <si>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</si>
  <si>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</si>
  <si>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</si>
  <si>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</si>
  <si>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</si>
  <si>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</si>
  <si>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</si>
  <si>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</si>
  <si>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</si>
  <si>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</si>
  <si>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</si>
  <si>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</si>
  <si>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</si>
  <si>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</si>
  <si>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</si>
  <si>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</si>
  <si>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</si>
  <si>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</si>
  <si>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</si>
  <si>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</si>
  <si>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</si>
  <si>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</si>
  <si>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</si>
  <si>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</si>
  <si>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</si>
  <si>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</si>
  <si>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</si>
  <si>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</si>
  <si>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</si>
  <si>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</si>
  <si>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</si>
  <si>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</si>
  <si>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</si>
  <si>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XLV</t>
  </si>
  <si>
    <t>Market</t>
  </si>
  <si>
    <t>Nasdaq</t>
  </si>
  <si>
    <t>Leverage for 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</si>
</sst>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0.03</c:v>
                </c:pt>
                <c:pt idx="2">
                  <c:v>0.10299999999999999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6.9000000000000006E-2</c:v>
                </c:pt>
                <c:pt idx="7">
                  <c:v>7.8E-2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3.6999999999999998E-2</c:v>
                </c:pt>
                <c:pt idx="15">
                  <c:v>0.01</c:v>
                </c:pt>
                <c:pt idx="16">
                  <c:v>0.53499999999999992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9.5703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45337</v>
      </c>
      <c r="E1" s="14"/>
      <c r="F1" s="14"/>
      <c r="G1" s="43"/>
      <c r="H1" s="14"/>
      <c r="J1" s="67"/>
      <c r="K1" s="81"/>
    </row>
    <row r="2" spans="1:12" s="13" customFormat="1" x14ac:dyDescent="0.25">
      <c r="A2" s="101" t="s">
        <v>10</v>
      </c>
      <c r="B2" s="101"/>
      <c r="C2" s="15">
        <f>C23/C22</f>
        <v>1.8628732081004216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3" t="s">
        <v>38</v>
      </c>
      <c r="B3" s="104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63</v>
      </c>
      <c r="B4" s="57"/>
      <c r="C4" s="15">
        <f>SUM(H26:H27)/C22</f>
        <v>0.12088441502038222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51</v>
      </c>
      <c r="B5" s="57"/>
      <c r="C5" s="15">
        <f>SUM(H28:H30)/C22</f>
        <v>0.41323124525989635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3" t="s">
        <v>49</v>
      </c>
      <c r="B6" s="104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3" t="s">
        <v>40</v>
      </c>
      <c r="B9" s="104"/>
      <c r="C9" s="15">
        <f>SUM(H31:H39)/C22</f>
        <v>0.27722633901491578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3" t="s">
        <v>73</v>
      </c>
      <c r="B10" s="104"/>
      <c r="C10" s="15">
        <f>SUM(H40:H42)/C22</f>
        <v>0.3101106066494842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3" t="s">
        <v>83</v>
      </c>
      <c r="B11" s="104"/>
      <c r="C11" s="15">
        <f>SUM(H43)/C22</f>
        <v>8.0039565575841187E-2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65</v>
      </c>
      <c r="B13" s="57"/>
      <c r="C13" s="15">
        <f>SUM(0)/C22</f>
        <v>0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3" t="s">
        <v>26</v>
      </c>
      <c r="B14" s="104"/>
      <c r="C14" s="15">
        <f>SUM(H44)/C22</f>
        <v>0.14657458230758727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3" t="s">
        <v>25</v>
      </c>
      <c r="B15" s="104"/>
      <c r="C15" s="15">
        <f>SUM(H45:H50)/C22</f>
        <v>0.32187650357813724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67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2" t="s">
        <v>37</v>
      </c>
      <c r="B17" s="102"/>
      <c r="C17" s="15">
        <f>SUM(H51:H51)/C22</f>
        <v>4.160347968241046E-2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3" t="s">
        <v>39</v>
      </c>
      <c r="B18" s="104"/>
      <c r="C18" s="15">
        <f>SUM(H52)/C22</f>
        <v>0.15132647101176691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1" t="s">
        <v>8</v>
      </c>
      <c r="B19" s="101"/>
      <c r="C19" s="18">
        <v>47085244.189999998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1" t="s">
        <v>9</v>
      </c>
      <c r="B22" s="101"/>
      <c r="C22" s="18">
        <f>C19+C20-C21</f>
        <v>47085244.189999998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87713839.898417026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76</v>
      </c>
      <c r="K25" s="94" t="s">
        <v>77</v>
      </c>
    </row>
    <row r="26" spans="1:17" x14ac:dyDescent="0.25">
      <c r="A26" s="34" t="s">
        <v>62</v>
      </c>
      <c r="B26" s="34" t="s">
        <v>14</v>
      </c>
      <c r="C26" s="95">
        <v>85.95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1.9670000000000001</v>
      </c>
      <c r="H26" s="39">
        <f>Table132[[#This Row],[New position]]*Table132[[#This Row],[Last_Price]]</f>
        <v>3704445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80</v>
      </c>
      <c r="B27" s="34" t="s">
        <v>14</v>
      </c>
      <c r="C27" s="95">
        <v>144.1</v>
      </c>
      <c r="D27" s="34">
        <v>13792</v>
      </c>
      <c r="E27" s="34">
        <v>13792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1.0549999999999999</v>
      </c>
      <c r="H27" s="39">
        <f>Table132[[#This Row],[New position]]*Table132[[#This Row],[Last_Price]]</f>
        <v>1987427.2</v>
      </c>
      <c r="I27" s="99"/>
      <c r="J27" s="96"/>
      <c r="K27" s="96"/>
      <c r="L27"/>
      <c r="M27"/>
      <c r="N27"/>
      <c r="O27"/>
      <c r="P27"/>
      <c r="Q27"/>
    </row>
    <row r="28" spans="1:17" x14ac:dyDescent="0.25">
      <c r="A28" s="44" t="s">
        <v>78</v>
      </c>
      <c r="B28" s="44" t="s">
        <v>14</v>
      </c>
      <c r="C28" s="95">
        <v>736.35</v>
      </c>
      <c r="D28" s="34">
        <v>1260</v>
      </c>
      <c r="E28" s="34">
        <v>2520</v>
      </c>
      <c r="F28" s="33">
        <f>Table132[[#This Row],[New position]]-Table132[[#This Row],[Old position]]</f>
        <v>1260</v>
      </c>
      <c r="G28" s="34">
        <f>ROUND(Table132[[#This Row],[Target allocation ($)]]/(IF(G73&gt;0, G55,E55)*C22)*100,3)</f>
        <v>0.98499999999999999</v>
      </c>
      <c r="H28" s="39">
        <f>Table132[[#This Row],[New position]]*Table132[[#This Row],[Last_Price]]</f>
        <v>1855602</v>
      </c>
      <c r="I28" s="27"/>
      <c r="J28" s="96" t="s">
        <v>81</v>
      </c>
      <c r="K28" s="96">
        <v>730.29</v>
      </c>
      <c r="L28"/>
      <c r="M28"/>
      <c r="N28"/>
      <c r="O28"/>
      <c r="P28"/>
      <c r="Q28"/>
    </row>
    <row r="29" spans="1:17" x14ac:dyDescent="0.25">
      <c r="A29" s="44" t="s">
        <v>79</v>
      </c>
      <c r="B29" s="44" t="s">
        <v>14</v>
      </c>
      <c r="C29" s="95">
        <v>204.12</v>
      </c>
      <c r="D29" s="34">
        <v>11450</v>
      </c>
      <c r="E29" s="34">
        <v>20300</v>
      </c>
      <c r="F29" s="33">
        <f>Table132[[#This Row],[New position]]-Table132[[#This Row],[Old position]]</f>
        <v>8850</v>
      </c>
      <c r="G29" s="34">
        <f>ROUND(Table132[[#This Row],[Target allocation ($)]]/(IF(G73&gt;0, G55,E55)*C22)*100,3)</f>
        <v>2.2000000000000002</v>
      </c>
      <c r="H29" s="39">
        <f>Table132[[#This Row],[New position]]*Table132[[#This Row],[Last_Price]]</f>
        <v>4143636</v>
      </c>
      <c r="I29" s="27"/>
      <c r="J29" s="96" t="s">
        <v>81</v>
      </c>
      <c r="K29" s="96">
        <v>203.18</v>
      </c>
      <c r="L29"/>
      <c r="M29"/>
      <c r="N29"/>
      <c r="O29"/>
      <c r="P29"/>
      <c r="Q29"/>
    </row>
    <row r="30" spans="1:17" x14ac:dyDescent="0.25">
      <c r="A30" s="34" t="s">
        <v>68</v>
      </c>
      <c r="B30" s="34" t="s">
        <v>14</v>
      </c>
      <c r="C30" s="95">
        <v>63.87</v>
      </c>
      <c r="D30" s="34">
        <v>196965</v>
      </c>
      <c r="E30" s="34">
        <v>210707</v>
      </c>
      <c r="F30" s="33">
        <f>Table132[[#This Row],[New position]]-Table132[[#This Row],[Old position]]</f>
        <v>13742</v>
      </c>
      <c r="G30" s="34">
        <f>ROUND(Table132[[#This Row],[Target allocation ($)]]/(IF(G73&gt;0, G55,E55)*C22)*100,3)</f>
        <v>7.1449999999999996</v>
      </c>
      <c r="H30" s="39">
        <f>Table132[[#This Row],[New position]]*Table132[[#This Row],[Last_Price]]</f>
        <v>13457856.09</v>
      </c>
      <c r="I30" s="27"/>
      <c r="J30" s="96" t="s">
        <v>81</v>
      </c>
      <c r="K30" s="96">
        <v>63.56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237.97206703910601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0.114</v>
      </c>
      <c r="H31" s="39">
        <f>Table132[[#This Row],[New position]]*Table132[[#This Row],[Last_Price]]</f>
        <v>214174.86033519541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36.496163682864399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0.29599999999999999</v>
      </c>
      <c r="H32" s="39">
        <f>Table132[[#This Row],[New position]]*Table132[[#This Row],[Last_Price]]</f>
        <v>558391.30434782535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9.1176470588235308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0.107</v>
      </c>
      <c r="H33" s="39">
        <f>Table132[[#This Row],[New position]]*Table132[[#This Row],[Last_Price]]</f>
        <v>200588.23529411768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13.2608695652174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0.11</v>
      </c>
      <c r="H34" s="39">
        <f>Table132[[#This Row],[New position]]*Table132[[#This Row],[Last_Price]]</f>
        <v>206869.56521739144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0.71611253196930902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0.64</v>
      </c>
      <c r="H35" s="39">
        <f>Table132[[#This Row],[New position]]*Table132[[#This Row],[Last_Price]]</f>
        <v>1205933.5038363163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1.8593350383631699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($)]]/(IF(G73&gt;0, G55,E55)*C22)*100,3)</f>
        <v>0.75600000000000001</v>
      </c>
      <c r="H36" s="39">
        <f>Table132[[#This Row],[New position]]*Table132[[#This Row],[Last_Price]]</f>
        <v>1424250.6393861882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75</v>
      </c>
      <c r="B37" s="34" t="s">
        <v>14</v>
      </c>
      <c r="C37" s="46">
        <v>43.86</v>
      </c>
      <c r="D37">
        <v>181245</v>
      </c>
      <c r="E37">
        <v>200694</v>
      </c>
      <c r="F37" s="33">
        <f>Table132[[#This Row],[New position]]-Table132[[#This Row],[Old position]]</f>
        <v>19449</v>
      </c>
      <c r="G37" s="34">
        <f>ROUND(Table132[[#This Row],[Target allocation ($)]]/(IF(G73&gt;0, G55,E55)*C22)*100,3)</f>
        <v>4.6740000000000004</v>
      </c>
      <c r="H37" s="39">
        <f>Table132[[#This Row],[New position]]*Table132[[#This Row],[Last_Price]]</f>
        <v>8802438.8399999999</v>
      </c>
      <c r="I37" s="66"/>
      <c r="J37" s="96" t="s">
        <v>81</v>
      </c>
      <c r="K37" s="98">
        <v>44.03</v>
      </c>
      <c r="L37"/>
      <c r="M37"/>
      <c r="N37"/>
      <c r="O37"/>
      <c r="P37"/>
      <c r="Q37"/>
    </row>
    <row r="38" spans="1:17" x14ac:dyDescent="0.25">
      <c r="A38" s="34" t="s">
        <v>58</v>
      </c>
      <c r="B38" s="34" t="s">
        <v>14</v>
      </c>
      <c r="C38" s="46">
        <v>88.35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7.6999999999999999E-2</v>
      </c>
      <c r="H38" s="39">
        <f>Table132[[#This Row],[New position]]*Table132[[#This Row],[Last_Price]]</f>
        <v>145777.5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60</v>
      </c>
      <c r="B39" s="34" t="s">
        <v>14</v>
      </c>
      <c r="C39" s="46">
        <v>22.42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0.157</v>
      </c>
      <c r="H39" s="39">
        <f>Table132[[#This Row],[New position]]*Table132[[#This Row],[Last_Price]]</f>
        <v>294845.42000000004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59</v>
      </c>
      <c r="B40" s="44" t="s">
        <v>14</v>
      </c>
      <c r="C40" s="46">
        <v>67.08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0.77200000000000002</v>
      </c>
      <c r="H40" s="39">
        <f>Table132[[#This Row],[New position]]*Table132[[#This Row],[Last_Price]]</f>
        <v>1454160.24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70</v>
      </c>
      <c r="B41" s="44" t="s">
        <v>14</v>
      </c>
      <c r="C41" s="46">
        <v>30.68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5.5E-2</v>
      </c>
      <c r="H41" s="39">
        <f>Table132[[#This Row],[New position]]*Table132[[#This Row],[Last_Price]]</f>
        <v>104312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71</v>
      </c>
      <c r="B42" s="34" t="s">
        <v>14</v>
      </c>
      <c r="C42" s="46">
        <v>99.8</v>
      </c>
      <c r="D42" s="34">
        <v>122343</v>
      </c>
      <c r="E42" s="34">
        <v>130693</v>
      </c>
      <c r="F42" s="33">
        <f>Table132[[#This Row],[New position]]-Table132[[#This Row],[Old position]]</f>
        <v>8350</v>
      </c>
      <c r="G42" s="34">
        <f>ROUND(Table132[[#This Row],[Target allocation ($)]]/(IF(G73&gt;0, G55,E55)*C22)*100,3)</f>
        <v>6.9249999999999998</v>
      </c>
      <c r="H42" s="39">
        <f>Table132[[#This Row],[New position]]*Table132[[#This Row],[Last_Price]]</f>
        <v>13043161.4</v>
      </c>
      <c r="I42" s="49"/>
      <c r="J42" s="96" t="s">
        <v>81</v>
      </c>
      <c r="K42" s="98">
        <v>100.41</v>
      </c>
      <c r="L42"/>
      <c r="M42"/>
      <c r="N42"/>
      <c r="O42"/>
      <c r="P42"/>
      <c r="Q42"/>
    </row>
    <row r="43" spans="1:17" x14ac:dyDescent="0.25">
      <c r="A43" s="44" t="s">
        <v>11</v>
      </c>
      <c r="B43" s="34" t="s">
        <v>14</v>
      </c>
      <c r="C43" s="46">
        <v>434.03</v>
      </c>
      <c r="D43" s="34">
        <v>4286</v>
      </c>
      <c r="E43" s="34">
        <v>8683</v>
      </c>
      <c r="F43" s="33">
        <f>Table132[[#This Row],[New position]]-Table132[[#This Row],[Old position]]</f>
        <v>4397</v>
      </c>
      <c r="G43" s="34">
        <f>ROUND(Table132[[#This Row],[Target allocation ($)]]/(IF(G73&gt;0, G55,E55)*C22)*100,3)</f>
        <v>2.0009999999999999</v>
      </c>
      <c r="H43" s="39">
        <f>Table132[[#This Row],[New position]]*Table132[[#This Row],[Last_Price]]</f>
        <v>3768682.4899999998</v>
      </c>
      <c r="I43" s="100"/>
      <c r="J43" s="96" t="s">
        <v>81</v>
      </c>
      <c r="K43" s="98">
        <v>433.36</v>
      </c>
      <c r="L43"/>
      <c r="M43"/>
      <c r="N43"/>
      <c r="O43"/>
      <c r="P43"/>
      <c r="Q43"/>
    </row>
    <row r="44" spans="1:17" x14ac:dyDescent="0.25">
      <c r="A44" s="44" t="s">
        <v>31</v>
      </c>
      <c r="B44" s="34" t="s">
        <v>14</v>
      </c>
      <c r="C44" s="46">
        <v>53.5</v>
      </c>
      <c r="D44" s="34">
        <v>129000</v>
      </c>
      <c r="E44" s="34">
        <v>129000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3.6640000000000001</v>
      </c>
      <c r="H44" s="39">
        <f>Table132[[#This Row],[New position]]*Table132[[#This Row],[Last_Price]]</f>
        <v>6901500</v>
      </c>
      <c r="I44" s="53"/>
      <c r="J44" s="98"/>
      <c r="K44" s="98"/>
      <c r="L44"/>
      <c r="M44"/>
      <c r="N44"/>
      <c r="O44"/>
      <c r="P44"/>
      <c r="Q44"/>
    </row>
    <row r="45" spans="1:17" x14ac:dyDescent="0.25">
      <c r="A45" s="44" t="s">
        <v>32</v>
      </c>
      <c r="B45" s="44" t="s">
        <v>14</v>
      </c>
      <c r="C45" s="46">
        <v>79.66</v>
      </c>
      <c r="D45" s="34">
        <v>36312</v>
      </c>
      <c r="E45" s="34">
        <v>36312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1.536</v>
      </c>
      <c r="H45" s="39">
        <f>Table132[[#This Row],[New position]]*Table132[[#This Row],[Last_Price]]</f>
        <v>2892613.92</v>
      </c>
      <c r="I45" s="26"/>
      <c r="J45" s="98"/>
      <c r="K45" s="98"/>
      <c r="L45"/>
      <c r="M45"/>
      <c r="N45"/>
      <c r="O45"/>
      <c r="P45"/>
      <c r="Q45"/>
    </row>
    <row r="46" spans="1:17" x14ac:dyDescent="0.25">
      <c r="A46" s="44" t="s">
        <v>33</v>
      </c>
      <c r="B46" s="44" t="s">
        <v>14</v>
      </c>
      <c r="C46" s="46">
        <v>71.98</v>
      </c>
      <c r="D46" s="34">
        <v>38350</v>
      </c>
      <c r="E46" s="34">
        <v>38350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1.466</v>
      </c>
      <c r="H46" s="39">
        <f>Table132[[#This Row],[New position]]*Table132[[#This Row],[Last_Price]]</f>
        <v>2760433</v>
      </c>
      <c r="I46" s="26"/>
      <c r="J46" s="98"/>
      <c r="K46" s="98"/>
      <c r="L46"/>
      <c r="M46"/>
      <c r="N46"/>
      <c r="O46"/>
      <c r="P46"/>
      <c r="Q46"/>
    </row>
    <row r="47" spans="1:17" x14ac:dyDescent="0.25">
      <c r="A47" s="44" t="s">
        <v>41</v>
      </c>
      <c r="B47" s="44" t="s">
        <v>14</v>
      </c>
      <c r="C47" s="46">
        <v>93.45</v>
      </c>
      <c r="D47" s="34">
        <v>30000</v>
      </c>
      <c r="E47" s="34">
        <v>30000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1.4890000000000001</v>
      </c>
      <c r="H47" s="39">
        <f>Table132[[#This Row],[New position]]*Table132[[#This Row],[Last_Price]]</f>
        <v>2803500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44</v>
      </c>
      <c r="B48" s="44" t="s">
        <v>14</v>
      </c>
      <c r="C48" s="46">
        <v>107.48</v>
      </c>
      <c r="D48" s="34">
        <v>26725</v>
      </c>
      <c r="E48" s="34">
        <v>26725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1.5249999999999999</v>
      </c>
      <c r="H48" s="39">
        <f>Table132[[#This Row],[New position]]*Table132[[#This Row],[Last_Price]]</f>
        <v>2872403</v>
      </c>
      <c r="I48" s="53"/>
      <c r="J48" s="98"/>
      <c r="K48" s="98"/>
      <c r="L48"/>
      <c r="M48"/>
      <c r="N48"/>
      <c r="O48"/>
      <c r="P48"/>
      <c r="Q48"/>
    </row>
    <row r="49" spans="1:17" x14ac:dyDescent="0.25">
      <c r="A49" s="44" t="s">
        <v>52</v>
      </c>
      <c r="B49" s="44" t="s">
        <v>14</v>
      </c>
      <c r="C49" s="46">
        <v>36.17</v>
      </c>
      <c r="D49" s="34">
        <v>78324</v>
      </c>
      <c r="E49" s="34">
        <v>78324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1.504</v>
      </c>
      <c r="H49" s="39">
        <f>Table132[[#This Row],[New position]]*Table132[[#This Row],[Last_Price]]</f>
        <v>2832979.08</v>
      </c>
      <c r="I49" s="53"/>
      <c r="J49" s="98"/>
      <c r="K49" s="98"/>
      <c r="L49"/>
      <c r="M49"/>
      <c r="N49"/>
      <c r="O49"/>
      <c r="P49"/>
      <c r="Q49"/>
    </row>
    <row r="50" spans="1:17" x14ac:dyDescent="0.25">
      <c r="A50" s="44" t="s">
        <v>74</v>
      </c>
      <c r="B50" s="44" t="s">
        <v>14</v>
      </c>
      <c r="C50" s="46">
        <v>47.29</v>
      </c>
      <c r="D50" s="34">
        <v>21013</v>
      </c>
      <c r="E50" s="34">
        <v>21013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0.52800000000000002</v>
      </c>
      <c r="H50" s="39">
        <f>Table132[[#This Row],[New position]]*Table132[[#This Row],[Last_Price]]</f>
        <v>993704.77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69</v>
      </c>
      <c r="B51" s="44" t="s">
        <v>14</v>
      </c>
      <c r="C51" s="46">
        <v>167</v>
      </c>
      <c r="D51" s="34">
        <v>11730</v>
      </c>
      <c r="E51" s="34">
        <v>11730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1.04</v>
      </c>
      <c r="H51" s="39">
        <f>Table132[[#This Row],[New position]]*Table132[[#This Row],[Last_Price]]</f>
        <v>1958910</v>
      </c>
      <c r="I51" s="26"/>
      <c r="J51" s="98"/>
      <c r="K51" s="98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184.86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3.7829999999999999</v>
      </c>
      <c r="H52" s="39">
        <f>Table132[[#This Row],[New position]]*Table132[[#This Row],[Last_Price]]</f>
        <v>7125243.8400000008</v>
      </c>
      <c r="I52" s="62"/>
      <c r="J52" s="98"/>
      <c r="K52" s="98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70"/>
      <c r="K53" s="84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70"/>
      <c r="K54" s="84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70"/>
      <c r="K55" s="84"/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9"/>
      <c r="K56" s="83"/>
      <c r="L56"/>
      <c r="M56"/>
      <c r="N56"/>
      <c r="O56"/>
      <c r="P56"/>
      <c r="Q56"/>
    </row>
    <row r="57" spans="1:17" ht="15" customHeight="1" x14ac:dyDescent="0.25">
      <c r="A57" s="44" t="s">
        <v>64</v>
      </c>
      <c r="B57" s="44"/>
      <c r="C57" s="45"/>
      <c r="D57" s="47" t="str">
        <f>Table132[[#This Row],[Symbol]]</f>
        <v>Healthcare</v>
      </c>
      <c r="E57" s="34">
        <f>ROUND(SUM(G26:G27)/100, 3)</f>
        <v>0.03</v>
      </c>
      <c r="F57" s="47" t="str">
        <f>Table132[[#This Row],[Symbol]]</f>
        <v>Healthcare</v>
      </c>
      <c r="G57" s="51">
        <f>SUM(H26:H27)/(G55*C22)</f>
        <v>3.0221103755095555E-2</v>
      </c>
      <c r="H57" s="46"/>
      <c r="I57" s="27"/>
      <c r="J57" s="69"/>
      <c r="K57" s="83"/>
      <c r="L57"/>
      <c r="M57"/>
      <c r="N57"/>
      <c r="O57"/>
      <c r="P57"/>
      <c r="Q57"/>
    </row>
    <row r="58" spans="1:17" ht="15" customHeight="1" x14ac:dyDescent="0.25">
      <c r="A58" s="44" t="s">
        <v>54</v>
      </c>
      <c r="B58" s="44"/>
      <c r="C58" s="45"/>
      <c r="D58" s="47" t="str">
        <f>Table132[[#This Row],[Symbol]]</f>
        <v>Semiconductor</v>
      </c>
      <c r="E58" s="34">
        <f>ROUND(SUM(G28:G30)/100, 3)</f>
        <v>0.10299999999999999</v>
      </c>
      <c r="F58" s="47" t="str">
        <f>Table132[[#This Row],[Symbol]]</f>
        <v>Semiconductor</v>
      </c>
      <c r="G58" s="51">
        <f>SUM(H28:H30)/(G55*C22)</f>
        <v>0.10330781131497409</v>
      </c>
      <c r="H58" s="46"/>
      <c r="I58" s="52"/>
      <c r="J58" s="71"/>
      <c r="K58" s="85"/>
      <c r="L58"/>
      <c r="M58"/>
      <c r="N58"/>
      <c r="O58"/>
      <c r="P58"/>
      <c r="Q58"/>
    </row>
    <row r="59" spans="1:17" ht="15.75" customHeight="1" x14ac:dyDescent="0.25">
      <c r="A59" s="44" t="s">
        <v>55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1"/>
      <c r="K59" s="85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4.25" customHeight="1" x14ac:dyDescent="0.25">
      <c r="A62" s="44" t="s">
        <v>53</v>
      </c>
      <c r="B62" s="44"/>
      <c r="C62" s="45"/>
      <c r="D62" s="47" t="str">
        <f>Table132[[#This Row],[Symbol]]</f>
        <v>Int Stocks</v>
      </c>
      <c r="E62" s="34">
        <f>ROUND(SUM(G31:G39)/100, 3)</f>
        <v>6.9000000000000006E-2</v>
      </c>
      <c r="F62" s="47" t="str">
        <f>Table132[[#This Row],[Symbol]]</f>
        <v>Int Stocks</v>
      </c>
      <c r="G62" s="34">
        <f>SUM(H31:H39)/(G55*C22)</f>
        <v>6.9306584753728945E-2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72</v>
      </c>
      <c r="B63" s="44"/>
      <c r="C63" s="45"/>
      <c r="D63" s="47" t="str">
        <f>Table132[[#This Row],[Symbol]]</f>
        <v>JP Stocks</v>
      </c>
      <c r="E63" s="34">
        <f>ROUND(SUM(G40:G42)/100, 3)</f>
        <v>7.8E-2</v>
      </c>
      <c r="F63" s="47" t="str">
        <f>Table132[[#This Row],[Symbol]]</f>
        <v>JP Stocks</v>
      </c>
      <c r="G63" s="51">
        <f>SUM(H40:H42)/(G55*C22)</f>
        <v>7.752765166237105E-2</v>
      </c>
      <c r="H63" s="46"/>
      <c r="I63" s="64"/>
      <c r="J63" s="73"/>
      <c r="K63" s="87"/>
      <c r="L63"/>
      <c r="M63"/>
      <c r="N63"/>
      <c r="O63"/>
      <c r="P63"/>
      <c r="Q63"/>
    </row>
    <row r="64" spans="1:17" ht="15.75" customHeight="1" x14ac:dyDescent="0.25">
      <c r="A64" s="44" t="s">
        <v>82</v>
      </c>
      <c r="B64" s="44"/>
      <c r="C64" s="45"/>
      <c r="D64" s="47" t="str">
        <f>Table132[[#This Row],[Symbol]]</f>
        <v>Nasdaq</v>
      </c>
      <c r="E64" s="51">
        <f>ROUND(SUM(G43)/100, 3)</f>
        <v>0.02</v>
      </c>
      <c r="F64" s="47" t="str">
        <f>Table132[[#This Row],[Symbol]]</f>
        <v>Nasdaq</v>
      </c>
      <c r="G64" s="51">
        <f>SUM(H43)/(G55*C22)</f>
        <v>2.0009891393960297E-2</v>
      </c>
      <c r="H64" s="46"/>
      <c r="I64" s="27"/>
      <c r="J64" s="69"/>
      <c r="K64" s="83"/>
      <c r="L64"/>
      <c r="M64"/>
      <c r="N64"/>
      <c r="O64"/>
      <c r="P64"/>
      <c r="Q64"/>
    </row>
    <row r="65" spans="1:17" ht="15.75" customHeight="1" x14ac:dyDescent="0.25">
      <c r="A65" s="58" t="s">
        <v>56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44" t="s">
        <v>61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34">
        <f>SUM(0)/(G55*C22)</f>
        <v>0</v>
      </c>
      <c r="H66" s="46"/>
      <c r="I66" s="59"/>
      <c r="J66" s="72"/>
      <c r="K66" s="86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ROUND((SUM(G45:G50))/100, 3)</f>
        <v>0.08</v>
      </c>
      <c r="F67" s="47" t="str">
        <f>Table132[[#This Row],[Symbol]]</f>
        <v>Bonds</v>
      </c>
      <c r="G67" s="51">
        <f>(SUM(H45:H50))/(G55*C22)</f>
        <v>8.046912589453431E-2</v>
      </c>
      <c r="H67" s="46"/>
      <c r="I67" s="27"/>
      <c r="J67" s="69"/>
      <c r="K67" s="83"/>
      <c r="L67"/>
      <c r="M67"/>
      <c r="N67"/>
      <c r="O67"/>
      <c r="P67"/>
      <c r="Q67"/>
    </row>
    <row r="68" spans="1:17" ht="14.25" customHeight="1" x14ac:dyDescent="0.25">
      <c r="A68" s="44" t="s">
        <v>66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4"/>
      <c r="K68" s="88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3.7999999999999999E-2</v>
      </c>
      <c r="F69" s="47" t="str">
        <f>Table132[[#This Row],[Symbol]]</f>
        <v>Gold</v>
      </c>
      <c r="G69" s="51">
        <f>SUM(H52)/(G55*C22)</f>
        <v>3.7831617752941728E-2</v>
      </c>
      <c r="H69" s="34"/>
      <c r="I69" s="28"/>
      <c r="J69" s="75"/>
      <c r="K69" s="82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ROUND(SUM(G44)/100,3)</f>
        <v>3.6999999999999998E-2</v>
      </c>
      <c r="F70" s="47" t="str">
        <f>Table132[[#This Row],[Symbol]]</f>
        <v>Commodities</v>
      </c>
      <c r="G70" s="34">
        <f>SUM(H44)/(G55*C22)</f>
        <v>3.6643645576896818E-2</v>
      </c>
      <c r="H70" s="34"/>
      <c r="I70" s="29"/>
      <c r="J70" s="76"/>
      <c r="K70" s="89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ROUND(SUM(G51:G51)/100,3)</f>
        <v>0.01</v>
      </c>
      <c r="F71" s="47" t="str">
        <f>Table132[[#This Row],[Symbol]]</f>
        <v>Crypto</v>
      </c>
      <c r="G71" s="51">
        <f>SUM(H51:H51)/(G55*C22)</f>
        <v>1.0400869920602615E-2</v>
      </c>
      <c r="H71" s="46"/>
      <c r="I71" s="50"/>
      <c r="J71" s="77"/>
      <c r="K71" s="90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0.53499999999999992</v>
      </c>
      <c r="F72" s="47" t="str">
        <f>Table132[[#This Row],[Symbol]]</f>
        <v>Cash</v>
      </c>
      <c r="G72" s="34">
        <f>1-SUM(G56:G71)</f>
        <v>0.53428169797489455</v>
      </c>
      <c r="H72" s="34"/>
      <c r="I72" s="27"/>
      <c r="J72" s="69"/>
      <c r="K72" s="83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25190605.641649995</v>
      </c>
      <c r="F73" s="31"/>
      <c r="G73" s="34">
        <f>C22*G72</f>
        <v>25156784.215395737</v>
      </c>
      <c r="H73" s="39"/>
      <c r="I73" s="30"/>
      <c r="J73" s="78"/>
      <c r="K73" s="91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9"/>
      <c r="K74" s="83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9"/>
      <c r="K77" s="92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