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740" documentId="14_{A48F4B07-3EF3-43E5-91B2-4CA340E6013A}" xr6:coauthVersionLast="47" xr6:coauthVersionMax="47" xr10:uidLastSave="{581B887E-AE43-4B06-86E1-68B39B93189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3" l="1"/>
  <c r="E66" i="3"/>
  <c r="H43" i="3" l="1"/>
  <c r="E68" i="3"/>
  <c r="E65" i="3"/>
  <c r="E59" i="3"/>
  <c r="H27" i="3"/>
  <c r="F27" i="3"/>
  <c r="E56" i="3"/>
  <c r="H28" i="3"/>
  <c r="H29" i="3"/>
  <c r="F28" i="3"/>
  <c r="F29" i="3"/>
  <c r="F37" i="3" l="1"/>
  <c r="H37" i="3"/>
  <c r="E61" i="3" l="1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G64" i="3" l="1"/>
  <c r="C13" i="3"/>
  <c r="G66" i="3"/>
  <c r="C11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4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E57" i="3" l="1"/>
  <c r="G34" i="3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<sst xmlns="http://schemas.openxmlformats.org/spreadsheetml/2006/main" count="115" uniqueCount="84">
  <si>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</si>
  <si>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</si>
  <si>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</si>
  <si>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</si>
  <si>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</si>
  <si>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</si>
  <si>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</si>
  <si>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</si>
  <si>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</si>
  <si>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</si>
  <si>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</si>
  <si>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</si>
  <si>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</si>
  <si>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</si>
  <si>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</si>
  <si>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</si>
  <si>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</si>
  <si>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</si>
  <si>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</si>
  <si>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</si>
  <si>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</si>
  <si>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</si>
  <si>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</si>
  <si>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</si>
  <si>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</si>
  <si>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</si>
  <si>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</si>
  <si>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</si>
  <si>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</si>
  <si>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</si>
  <si>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</si>
  <si>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</si>
  <si>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</si>
  <si>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</si>
  <si>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</si>
  <si>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</si>
  <si>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</si>
  <si>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</si>
  <si>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</si>
  <si>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</si>
  <si>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</si>
  <si>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</si>
  <si>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</si>
  <si>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</si>
  <si>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</si>
  <si>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</si>
  <si>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</si>
  <si>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</si>
  <si>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</si>
  <si>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</si>
  <si>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</si>
  <si>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</si>
  <si>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</si>
  <si>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</si>
  <si>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</si>
  <si>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</si>
  <si>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</si>
  <si>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</si>
  <si>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</si>
  <si>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</si>
  <si>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</si>
  <si>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</si>
  <si>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</si>
  <si>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</si>
  <si>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</si>
  <si>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</si>
  <si>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</si>
  <si>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</si>
  <si>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</si>
  <si>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</si>
  <si>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</si>
  <si>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</si>
  <si>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</si>
  <si>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</si>
  <si>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</si>
  <si>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</si>
  <si>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</si>
  <si>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</si>
  <si>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</si>
  <si>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</si>
  <si>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</si>
  <si>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Market</t>
  </si>
  <si>
    <t>Nasdaq</t>
  </si>
  <si>
    <t>Leverage for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</si>
</sst>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0.03</c:v>
                </c:pt>
                <c:pt idx="2">
                  <c:v>0.13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8.6999999999999994E-2</c:v>
                </c:pt>
                <c:pt idx="8">
                  <c:v>3.9E-2</c:v>
                </c:pt>
                <c:pt idx="9">
                  <c:v>0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3.5000000000000003E-2</c:v>
                </c:pt>
                <c:pt idx="15">
                  <c:v>0</c:v>
                </c:pt>
                <c:pt idx="16">
                  <c:v>0.48100000000000009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45342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2.0762062913033064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38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63</v>
      </c>
      <c r="B4" s="57"/>
      <c r="C4" s="15">
        <f>SUM(H26:H27)/C22</f>
        <v>0.12141518468484799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51</v>
      </c>
      <c r="B5" s="57"/>
      <c r="C5" s="15">
        <f>SUM(H28:H30)/C22</f>
        <v>0.51954900438160612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49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40</v>
      </c>
      <c r="B9" s="104"/>
      <c r="C9" s="15">
        <f>SUM(H31:H39)/C22</f>
        <v>0.31874841427624268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73</v>
      </c>
      <c r="B10" s="104"/>
      <c r="C10" s="15">
        <f>SUM(H40:H42)/C22</f>
        <v>0.34623515931817583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83</v>
      </c>
      <c r="B11" s="104"/>
      <c r="C11" s="15">
        <f>SUM(H43)/C22</f>
        <v>0.15756115450735986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0.14152487240143441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0.31900509846559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37</v>
      </c>
      <c r="B17" s="102"/>
      <c r="C17" s="15">
        <f>SUM(H51:H51)/C22</f>
        <v>0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39</v>
      </c>
      <c r="B18" s="104"/>
      <c r="C18" s="15">
        <f>SUM(H52)/C22</f>
        <v>0.15216740326804926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47470949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47470949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98559482.967938393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76</v>
      </c>
      <c r="K25" s="94" t="s">
        <v>77</v>
      </c>
    </row>
    <row r="26" spans="1:17" x14ac:dyDescent="0.25">
      <c r="A26" s="34" t="s">
        <v>62</v>
      </c>
      <c r="B26" s="34" t="s">
        <v>14</v>
      </c>
      <c r="C26" s="95">
        <v>87.13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1.978</v>
      </c>
      <c r="H26" s="39">
        <f>Table132[[#This Row],[New position]]*Table132[[#This Row],[Last_Price]]</f>
        <v>3755303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80</v>
      </c>
      <c r="B27" s="34" t="s">
        <v>14</v>
      </c>
      <c r="C27" s="95">
        <v>145.62</v>
      </c>
      <c r="D27" s="34">
        <v>13792</v>
      </c>
      <c r="E27" s="34">
        <v>13792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1.0580000000000001</v>
      </c>
      <c r="H27" s="39">
        <f>Table132[[#This Row],[New position]]*Table132[[#This Row],[Last_Price]]</f>
        <v>2008391.04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78</v>
      </c>
      <c r="B28" s="44" t="s">
        <v>14</v>
      </c>
      <c r="C28" s="95">
        <v>709.7</v>
      </c>
      <c r="D28" s="34">
        <v>2520</v>
      </c>
      <c r="E28" s="34">
        <v>2520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0.94199999999999995</v>
      </c>
      <c r="H28" s="39">
        <f>Table132[[#This Row],[New position]]*Table132[[#This Row],[Last_Price]]</f>
        <v>1788444</v>
      </c>
      <c r="I28" s="27"/>
      <c r="J28" s="96"/>
      <c r="K28" s="96"/>
      <c r="L28"/>
      <c r="M28"/>
      <c r="N28"/>
      <c r="O28"/>
      <c r="P28"/>
      <c r="Q28"/>
    </row>
    <row r="29" spans="1:17" x14ac:dyDescent="0.25">
      <c r="A29" s="44" t="s">
        <v>79</v>
      </c>
      <c r="B29" s="44" t="s">
        <v>14</v>
      </c>
      <c r="C29" s="95">
        <v>199.62</v>
      </c>
      <c r="D29" s="34">
        <v>29150</v>
      </c>
      <c r="E29" s="34">
        <v>38000</v>
      </c>
      <c r="F29" s="33">
        <f>Table132[[#This Row],[New position]]-Table132[[#This Row],[Old position]]</f>
        <v>8850</v>
      </c>
      <c r="G29" s="34">
        <f>ROUND(Table132[[#This Row],[Target allocation ($)]]/(IF(G73&gt;0, G55,E55)*C22)*100,3)</f>
        <v>3.9950000000000001</v>
      </c>
      <c r="H29" s="39">
        <f>Table132[[#This Row],[New position]]*Table132[[#This Row],[Last_Price]]</f>
        <v>7585560</v>
      </c>
      <c r="I29" s="27"/>
      <c r="J29" s="96" t="s">
        <v>81</v>
      </c>
      <c r="K29" s="96">
        <v>196.74</v>
      </c>
      <c r="L29"/>
      <c r="M29"/>
      <c r="N29"/>
      <c r="O29"/>
      <c r="P29"/>
      <c r="Q29"/>
    </row>
    <row r="30" spans="1:17" x14ac:dyDescent="0.25">
      <c r="A30" s="34" t="s">
        <v>68</v>
      </c>
      <c r="B30" s="34" t="s">
        <v>14</v>
      </c>
      <c r="C30" s="95">
        <v>64.19</v>
      </c>
      <c r="D30" s="34">
        <v>224449</v>
      </c>
      <c r="E30" s="34">
        <v>238191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8.0519999999999996</v>
      </c>
      <c r="H30" s="39">
        <f>Table132[[#This Row],[New position]]*Table132[[#This Row],[Last_Price]]</f>
        <v>15289480.289999999</v>
      </c>
      <c r="I30" s="27"/>
      <c r="J30" s="96" t="s">
        <v>81</v>
      </c>
      <c r="K30" s="96">
        <v>64.28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233.199720670391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0.111</v>
      </c>
      <c r="H31" s="39">
        <f>Table132[[#This Row],[New position]]*Table132[[#This Row],[Last_Price]]</f>
        <v>209879.74860335191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36.112531969309501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0.29099999999999998</v>
      </c>
      <c r="H32" s="39">
        <f>Table132[[#This Row],[New position]]*Table132[[#This Row],[Last_Price]]</f>
        <v>552521.7391304354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9.2007672634271103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0.107</v>
      </c>
      <c r="H33" s="39">
        <f>Table132[[#This Row],[New position]]*Table132[[#This Row],[Last_Price]]</f>
        <v>202416.87979539644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13.248081841432199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0.109</v>
      </c>
      <c r="H34" s="39">
        <f>Table132[[#This Row],[New position]]*Table132[[#This Row],[Last_Price]]</f>
        <v>206670.07672634232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0.75447570332480796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0.66900000000000004</v>
      </c>
      <c r="H35" s="39">
        <f>Table132[[#This Row],[New position]]*Table132[[#This Row],[Last_Price]]</f>
        <v>1270537.0843989765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2.0025575447570301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0.80800000000000005</v>
      </c>
      <c r="H36" s="39">
        <f>Table132[[#This Row],[New position]]*Table132[[#This Row],[Last_Price]]</f>
        <v>1533959.079283885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75</v>
      </c>
      <c r="B37" s="34" t="s">
        <v>14</v>
      </c>
      <c r="C37" s="46">
        <v>44.69</v>
      </c>
      <c r="D37">
        <v>220143</v>
      </c>
      <c r="E37">
        <v>239592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5.6390000000000002</v>
      </c>
      <c r="H37" s="39">
        <f>Table132[[#This Row],[New position]]*Table132[[#This Row],[Last_Price]]</f>
        <v>10707366.479999999</v>
      </c>
      <c r="I37" s="66"/>
      <c r="J37" s="96" t="s">
        <v>81</v>
      </c>
      <c r="K37" s="98">
        <v>44.42</v>
      </c>
      <c r="L37"/>
      <c r="M37"/>
      <c r="N37"/>
      <c r="O37"/>
      <c r="P37"/>
      <c r="Q37"/>
    </row>
    <row r="38" spans="1:17" x14ac:dyDescent="0.25">
      <c r="A38" s="34" t="s">
        <v>58</v>
      </c>
      <c r="B38" s="34" t="s">
        <v>14</v>
      </c>
      <c r="C38" s="46">
        <v>91.11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7.9000000000000001E-2</v>
      </c>
      <c r="H38" s="39">
        <f>Table132[[#This Row],[New position]]*Table132[[#This Row],[Last_Price]]</f>
        <v>150331.5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60</v>
      </c>
      <c r="B39" s="34" t="s">
        <v>14</v>
      </c>
      <c r="C39" s="46">
        <v>22.63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0.157</v>
      </c>
      <c r="H39" s="39">
        <f>Table132[[#This Row],[New position]]*Table132[[#This Row],[Last_Price]]</f>
        <v>297607.13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59</v>
      </c>
      <c r="B40" s="44" t="s">
        <v>14</v>
      </c>
      <c r="C40" s="46">
        <v>68.040000000000006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0.77700000000000002</v>
      </c>
      <c r="H40" s="39">
        <f>Table132[[#This Row],[New position]]*Table132[[#This Row],[Last_Price]]</f>
        <v>1474971.12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70</v>
      </c>
      <c r="B41" s="44" t="s">
        <v>14</v>
      </c>
      <c r="C41" s="46">
        <v>31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5.6000000000000001E-2</v>
      </c>
      <c r="H41" s="39">
        <f>Table132[[#This Row],[New position]]*Table132[[#This Row],[Last_Price]]</f>
        <v>105400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71</v>
      </c>
      <c r="B42" s="34" t="s">
        <v>14</v>
      </c>
      <c r="C42" s="46">
        <v>100.79</v>
      </c>
      <c r="D42" s="34">
        <v>139043</v>
      </c>
      <c r="E42" s="34">
        <v>147393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7.8239999999999998</v>
      </c>
      <c r="H42" s="39">
        <f>Table132[[#This Row],[New position]]*Table132[[#This Row],[Last_Price]]</f>
        <v>14855740.470000001</v>
      </c>
      <c r="I42" s="49"/>
      <c r="J42" s="96" t="s">
        <v>81</v>
      </c>
      <c r="K42" s="98">
        <v>101.4</v>
      </c>
      <c r="L42"/>
      <c r="M42"/>
      <c r="N42"/>
      <c r="O42"/>
      <c r="P42"/>
      <c r="Q42"/>
    </row>
    <row r="43" spans="1:17" x14ac:dyDescent="0.25">
      <c r="A43" s="44" t="s">
        <v>11</v>
      </c>
      <c r="B43" s="34" t="s">
        <v>14</v>
      </c>
      <c r="C43" s="46">
        <v>428.31</v>
      </c>
      <c r="D43" s="34">
        <v>13073</v>
      </c>
      <c r="E43" s="34">
        <v>17463</v>
      </c>
      <c r="F43" s="33">
        <f>Table132[[#This Row],[New position]]-Table132[[#This Row],[Old position]]</f>
        <v>4390</v>
      </c>
      <c r="G43" s="34">
        <f>ROUND(Table132[[#This Row],[Target allocation ($)]]/(IF(G73&gt;0, G55,E55)*C22)*100,3)</f>
        <v>3.9390000000000001</v>
      </c>
      <c r="H43" s="39">
        <f>Table132[[#This Row],[New position]]*Table132[[#This Row],[Last_Price]]</f>
        <v>7479577.5300000003</v>
      </c>
      <c r="I43" s="100"/>
      <c r="J43" s="96" t="s">
        <v>81</v>
      </c>
      <c r="K43" s="98">
        <v>425.93</v>
      </c>
      <c r="L43"/>
      <c r="M43"/>
      <c r="N43"/>
      <c r="O43"/>
      <c r="P43"/>
      <c r="Q43"/>
    </row>
    <row r="44" spans="1:17" x14ac:dyDescent="0.25">
      <c r="A44" s="44" t="s">
        <v>31</v>
      </c>
      <c r="B44" s="34" t="s">
        <v>14</v>
      </c>
      <c r="C44" s="46">
        <v>52.08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3.5379999999999998</v>
      </c>
      <c r="H44" s="39">
        <f>Table132[[#This Row],[New position]]*Table132[[#This Row],[Last_Price]]</f>
        <v>6718320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32</v>
      </c>
      <c r="B45" s="44" t="s">
        <v>14</v>
      </c>
      <c r="C45" s="46">
        <v>79.64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1.5229999999999999</v>
      </c>
      <c r="H45" s="39">
        <f>Table132[[#This Row],[New position]]*Table132[[#This Row],[Last_Price]]</f>
        <v>2891887.68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33</v>
      </c>
      <c r="B46" s="44" t="s">
        <v>14</v>
      </c>
      <c r="C46" s="46">
        <v>71.91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1.452</v>
      </c>
      <c r="H46" s="39">
        <f>Table132[[#This Row],[New position]]*Table132[[#This Row],[Last_Price]]</f>
        <v>2757748.5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41</v>
      </c>
      <c r="B47" s="44" t="s">
        <v>14</v>
      </c>
      <c r="C47" s="46">
        <v>92.84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1.4670000000000001</v>
      </c>
      <c r="H47" s="39">
        <f>Table132[[#This Row],[New position]]*Table132[[#This Row],[Last_Price]]</f>
        <v>2785200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44</v>
      </c>
      <c r="B48" s="44" t="s">
        <v>14</v>
      </c>
      <c r="C48" s="46">
        <v>107.48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1.5129999999999999</v>
      </c>
      <c r="H48" s="39">
        <f>Table132[[#This Row],[New position]]*Table132[[#This Row],[Last_Price]]</f>
        <v>2872403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52</v>
      </c>
      <c r="B49" s="44" t="s">
        <v>14</v>
      </c>
      <c r="C49" s="46">
        <v>36.299999999999997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1.4970000000000001</v>
      </c>
      <c r="H49" s="39">
        <f>Table132[[#This Row],[New position]]*Table132[[#This Row],[Last_Price]]</f>
        <v>2843161.1999999997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74</v>
      </c>
      <c r="B50" s="44" t="s">
        <v>14</v>
      </c>
      <c r="C50" s="46">
        <v>47.26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0.52300000000000002</v>
      </c>
      <c r="H50" s="39">
        <f>Table132[[#This Row],[New position]]*Table132[[#This Row],[Last_Price]]</f>
        <v>993074.38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69</v>
      </c>
      <c r="B51" s="44" t="s">
        <v>14</v>
      </c>
      <c r="C51" s="46">
        <v>173.5</v>
      </c>
      <c r="D51" s="34">
        <v>11730</v>
      </c>
      <c r="E51" s="34">
        <v>0</v>
      </c>
      <c r="F51" s="33">
        <f>Table132[[#This Row],[New position]]-Table132[[#This Row],[Old position]]</f>
        <v>-11730</v>
      </c>
      <c r="G51" s="34">
        <f>ROUND(Table132[[#This Row],[Target allocation ($)]]/(IF(G73&gt;0, G55,E55)*C22)*100,3)</f>
        <v>0</v>
      </c>
      <c r="H51" s="39">
        <f>Table132[[#This Row],[New position]]*Table132[[#This Row],[Last_Price]]</f>
        <v>0</v>
      </c>
      <c r="I51" s="26"/>
      <c r="J51" s="98">
        <v>174</v>
      </c>
      <c r="K51" s="98">
        <v>173.93</v>
      </c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187.41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3.8039999999999998</v>
      </c>
      <c r="H52" s="39">
        <f>Table132[[#This Row],[New position]]*Table132[[#This Row],[Last_Price]]</f>
        <v>7223531.04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64</v>
      </c>
      <c r="B57" s="44"/>
      <c r="C57" s="45"/>
      <c r="D57" s="47" t="str">
        <f>Table132[[#This Row],[Symbol]]</f>
        <v>Healthcare</v>
      </c>
      <c r="E57" s="34">
        <f>ROUND(SUM(G26:G27)/100, 3)</f>
        <v>0.03</v>
      </c>
      <c r="F57" s="47" t="str">
        <f>Table132[[#This Row],[Symbol]]</f>
        <v>Healthcare</v>
      </c>
      <c r="G57" s="51">
        <f>SUM(H26:H27)/(G55*C22)</f>
        <v>3.0353796171211998E-2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54</v>
      </c>
      <c r="B58" s="44"/>
      <c r="C58" s="45"/>
      <c r="D58" s="47" t="str">
        <f>Table132[[#This Row],[Symbol]]</f>
        <v>Semiconductor</v>
      </c>
      <c r="E58" s="34">
        <f>ROUND(SUM(G28:G30)/100, 3)</f>
        <v>0.13</v>
      </c>
      <c r="F58" s="47" t="str">
        <f>Table132[[#This Row],[Symbol]]</f>
        <v>Semiconductor</v>
      </c>
      <c r="G58" s="51">
        <f>SUM(H28:H30)/(G55*C22)</f>
        <v>0.12988725109540153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55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53</v>
      </c>
      <c r="B62" s="44"/>
      <c r="C62" s="45"/>
      <c r="D62" s="47" t="str">
        <f>Table132[[#This Row],[Symbol]]</f>
        <v>Int Stocks</v>
      </c>
      <c r="E62" s="34">
        <f>ROUND(SUM(G31:G39)/100, 3)</f>
        <v>0.08</v>
      </c>
      <c r="F62" s="47" t="str">
        <f>Table132[[#This Row],[Symbol]]</f>
        <v>Int Stocks</v>
      </c>
      <c r="G62" s="34">
        <f>SUM(H31:H39)/(G55*C22)</f>
        <v>7.9687103569060669E-2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72</v>
      </c>
      <c r="B63" s="44"/>
      <c r="C63" s="45"/>
      <c r="D63" s="47" t="str">
        <f>Table132[[#This Row],[Symbol]]</f>
        <v>JP Stocks</v>
      </c>
      <c r="E63" s="34">
        <f>ROUND(SUM(G40:G42)/100, 3)</f>
        <v>8.6999999999999994E-2</v>
      </c>
      <c r="F63" s="47" t="str">
        <f>Table132[[#This Row],[Symbol]]</f>
        <v>JP Stocks</v>
      </c>
      <c r="G63" s="51">
        <f>SUM(H40:H42)/(G55*C22)</f>
        <v>8.6558789829543958E-2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82</v>
      </c>
      <c r="B64" s="44"/>
      <c r="C64" s="45"/>
      <c r="D64" s="47" t="str">
        <f>Table132[[#This Row],[Symbol]]</f>
        <v>Nasdaq</v>
      </c>
      <c r="E64" s="51">
        <f>ROUND(SUM(G43)/100, 3)</f>
        <v>3.9E-2</v>
      </c>
      <c r="F64" s="47" t="str">
        <f>Table132[[#This Row],[Symbol]]</f>
        <v>Nasdaq</v>
      </c>
      <c r="G64" s="51">
        <f>SUM(H43)/(G55*C22)</f>
        <v>3.9390288626839964E-2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56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61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34">
        <f>SUM(0)/(G55*C22)</f>
        <v>0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0.08</v>
      </c>
      <c r="F67" s="47" t="str">
        <f>Table132[[#This Row],[Symbol]]</f>
        <v>Bonds</v>
      </c>
      <c r="G67" s="51">
        <f>(SUM(H45:H50))/(G55*C22)</f>
        <v>7.9751274616397499E-2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66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3.7999999999999999E-2</v>
      </c>
      <c r="F69" s="47" t="str">
        <f>Table132[[#This Row],[Symbol]]</f>
        <v>Gold</v>
      </c>
      <c r="G69" s="51">
        <f>SUM(H52)/(G55*C22)</f>
        <v>3.8041850817012314E-2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3.5000000000000003E-2</v>
      </c>
      <c r="F70" s="47" t="str">
        <f>Table132[[#This Row],[Symbol]]</f>
        <v>Commodities</v>
      </c>
      <c r="G70" s="34">
        <f>SUM(H44)/(G55*C22)</f>
        <v>3.5381218100358602E-2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ROUND(SUM(G51:G51)/100,3)</f>
        <v>0</v>
      </c>
      <c r="F71" s="47" t="str">
        <f>Table132[[#This Row],[Symbol]]</f>
        <v>Crypto</v>
      </c>
      <c r="G71" s="51">
        <f>SUM(H51:H51)/(G55*C22)</f>
        <v>0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0.48100000000000009</v>
      </c>
      <c r="F72" s="47" t="str">
        <f>Table132[[#This Row],[Symbol]]</f>
        <v>Cash</v>
      </c>
      <c r="G72" s="34">
        <f>1-SUM(G56:G71)</f>
        <v>0.48094842717417341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22833526.469000004</v>
      </c>
      <c r="F73" s="31"/>
      <c r="G73" s="34">
        <f>C22*G72</f>
        <v>22831078.258015402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