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2-2024/"/>
    </mc:Choice>
  </mc:AlternateContent>
  <xr:revisionPtr revIDLastSave="3821" documentId="14_{A48F4B07-3EF3-43E5-91B2-4CA340E6013A}" xr6:coauthVersionLast="47" xr6:coauthVersionMax="47" xr10:uidLastSave="{7FC17F83-7031-448D-9B6F-D7D09496D2E1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5" i="3" l="1"/>
  <c r="H45" i="3"/>
  <c r="H43" i="3"/>
  <c r="H44" i="3"/>
  <c r="F43" i="3"/>
  <c r="F44" i="3"/>
  <c r="E70" i="3" l="1"/>
  <c r="E66" i="3"/>
  <c r="E71" i="3" l="1"/>
  <c r="F42" i="3"/>
  <c r="H42" i="3" l="1"/>
  <c r="E68" i="3"/>
  <c r="E65" i="3"/>
  <c r="E59" i="3"/>
  <c r="H27" i="3"/>
  <c r="F27" i="3"/>
  <c r="E56" i="3"/>
  <c r="H28" i="3"/>
  <c r="F28" i="3"/>
  <c r="F36" i="3" l="1"/>
  <c r="H36" i="3"/>
  <c r="E61" i="3" l="1"/>
  <c r="E60" i="3"/>
  <c r="F40" i="3"/>
  <c r="F63" i="3" l="1"/>
  <c r="D63" i="3"/>
  <c r="F52" i="3" l="1"/>
  <c r="H52" i="3"/>
  <c r="H40" i="3" l="1"/>
  <c r="H39" i="3"/>
  <c r="F39" i="3"/>
  <c r="D68" i="3" l="1"/>
  <c r="F68" i="3"/>
  <c r="D57" i="3" l="1"/>
  <c r="D58" i="3"/>
  <c r="D59" i="3"/>
  <c r="D60" i="3"/>
  <c r="D61" i="3"/>
  <c r="D62" i="3"/>
  <c r="D64" i="3"/>
  <c r="D65" i="3"/>
  <c r="D66" i="3"/>
  <c r="D67" i="3"/>
  <c r="D69" i="3"/>
  <c r="D70" i="3"/>
  <c r="D71" i="3"/>
  <c r="D72" i="3"/>
  <c r="F57" i="3"/>
  <c r="H35" i="3"/>
  <c r="F35" i="3"/>
  <c r="F37" i="3"/>
  <c r="F38" i="3"/>
  <c r="H37" i="3"/>
  <c r="H38" i="3"/>
  <c r="F34" i="3" l="1"/>
  <c r="H34" i="3"/>
  <c r="F66" i="3"/>
  <c r="D56" i="3" l="1"/>
  <c r="F62" i="3"/>
  <c r="F60" i="3"/>
  <c r="F59" i="3"/>
  <c r="F58" i="3"/>
  <c r="F56" i="3"/>
  <c r="F65" i="3"/>
  <c r="F61" i="3" l="1"/>
  <c r="F64" i="3"/>
  <c r="F67" i="3"/>
  <c r="F69" i="3"/>
  <c r="F70" i="3"/>
  <c r="F71" i="3"/>
  <c r="F72" i="3"/>
  <c r="H48" i="3" l="1"/>
  <c r="H47" i="3" l="1"/>
  <c r="H49" i="3"/>
  <c r="H50" i="3"/>
  <c r="H51" i="3"/>
  <c r="F47" i="3"/>
  <c r="F48" i="3"/>
  <c r="F49" i="3"/>
  <c r="F50" i="3"/>
  <c r="F51" i="3"/>
  <c r="F30" i="3" l="1"/>
  <c r="F31" i="3"/>
  <c r="F32" i="3"/>
  <c r="F41" i="3"/>
  <c r="F46" i="3"/>
  <c r="H46" i="3"/>
  <c r="H30" i="3" l="1"/>
  <c r="H31" i="3"/>
  <c r="H41" i="3" l="1"/>
  <c r="H29" i="3"/>
  <c r="H33" i="3" l="1"/>
  <c r="H32" i="3"/>
  <c r="H26" i="3" l="1"/>
  <c r="C23" i="3" s="1" a="1"/>
  <c r="C23" i="3" s="1"/>
  <c r="K58" i="3" s="1"/>
  <c r="K57" i="3" l="1"/>
  <c r="K56" i="3" s="1"/>
  <c r="F33" i="3"/>
  <c r="F26" i="3" l="1"/>
  <c r="F29" i="3"/>
  <c r="C22" i="3"/>
  <c r="C14" i="3" l="1"/>
  <c r="G70" i="3"/>
  <c r="G66" i="3"/>
  <c r="C13" i="3"/>
  <c r="C17" i="3"/>
  <c r="G71" i="3"/>
  <c r="G64" i="3"/>
  <c r="C11" i="3"/>
  <c r="C16" i="3"/>
  <c r="G68" i="3"/>
  <c r="G65" i="3"/>
  <c r="C12" i="3"/>
  <c r="C6" i="3"/>
  <c r="G59" i="3"/>
  <c r="G56" i="3"/>
  <c r="C3" i="3"/>
  <c r="C9" i="3"/>
  <c r="C5" i="3"/>
  <c r="G58" i="3"/>
  <c r="C10" i="3"/>
  <c r="C18" i="3"/>
  <c r="C15" i="3"/>
  <c r="G69" i="3"/>
  <c r="G67" i="3"/>
  <c r="C7" i="3"/>
  <c r="G60" i="3"/>
  <c r="C8" i="3"/>
  <c r="G61" i="3"/>
  <c r="G63" i="3"/>
  <c r="G62" i="3"/>
  <c r="C4" i="3"/>
  <c r="G57" i="3"/>
  <c r="C2" i="3"/>
  <c r="G72" i="3" l="1"/>
  <c r="G73" i="3" s="1"/>
  <c r="G43" i="3" l="1"/>
  <c r="G45" i="3"/>
  <c r="G44" i="3"/>
  <c r="G42" i="3"/>
  <c r="E64" i="3" s="1"/>
  <c r="G41" i="3"/>
  <c r="G26" i="3"/>
  <c r="G27" i="3"/>
  <c r="G28" i="3"/>
  <c r="G39" i="3"/>
  <c r="G40" i="3"/>
  <c r="G46" i="3"/>
  <c r="G30" i="3"/>
  <c r="G50" i="3"/>
  <c r="G34" i="3"/>
  <c r="E55" i="3"/>
  <c r="G48" i="3"/>
  <c r="G31" i="3"/>
  <c r="G49" i="3"/>
  <c r="G47" i="3"/>
  <c r="G37" i="3"/>
  <c r="E57" i="3" l="1"/>
  <c r="G33" i="3"/>
  <c r="G52" i="3"/>
  <c r="E69" i="3" s="1"/>
  <c r="G51" i="3"/>
  <c r="E67" i="3" s="1"/>
  <c r="G32" i="3"/>
  <c r="G29" i="3"/>
  <c r="E58" i="3" s="1"/>
  <c r="G36" i="3"/>
  <c r="G38" i="3"/>
  <c r="G35" i="3"/>
  <c r="E63" i="3"/>
  <c r="E62" i="3" l="1"/>
  <c r="E72" i="3" s="1"/>
  <c r="E73" i="3" s="1"/>
</calcChain>
</file>

<file path=xl/sharedStrings.xml><?xml version="1.0" encoding="utf-8"?>
<sst xmlns="http://schemas.openxmlformats.org/spreadsheetml/2006/main" count="122" uniqueCount="89">
  <si>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</si>
  <si>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</si>
  <si>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</si>
  <si>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</si>
  <si>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</si>
  <si>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</si>
  <si>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</si>
  <si>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</si>
  <si>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</si>
  <si>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</si>
  <si>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</si>
  <si>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</si>
  <si>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</si>
  <si>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</si>
  <si>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</si>
  <si>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</si>
  <si>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</si>
  <si>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</si>
  <si>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</si>
  <si>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</si>
  <si>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</si>
  <si>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</si>
  <si>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</si>
  <si>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</si>
  <si>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</si>
  <si>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</si>
  <si>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</si>
  <si>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</si>
  <si>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</si>
  <si>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</si>
  <si>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</si>
  <si>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</si>
  <si>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</si>
  <si>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</si>
  <si>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</si>
  <si>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</si>
  <si>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</si>
  <si>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</si>
  <si>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</si>
  <si>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</si>
  <si>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</si>
  <si>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</si>
  <si>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</si>
  <si>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</si>
  <si>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</si>
  <si>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</si>
  <si>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Leverage for S&amp;P 500 Bull</t>
  </si>
  <si>
    <t>S&amp;P</t>
  </si>
  <si>
    <t>Dow Jones</t>
  </si>
  <si>
    <t>Leverage for Russel 2000</t>
  </si>
  <si>
    <t>Leverage for Dow Jones Bull</t>
  </si>
  <si>
    <t>Leverage for Semiconductor</t>
  </si>
  <si>
    <t>USHY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</si>
  <si>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</si>
  <si>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</si>
  <si>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</si>
  <si>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</si>
  <si>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</si>
  <si>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</si>
  <si>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</si>
  <si>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</si>
  <si>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Short</t>
  </si>
  <si>
    <t>MRNA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</si>
  <si>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</si>
  <si>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</si>
  <si>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</si>
  <si>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</si>
  <si>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</si>
  <si>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</si>
  <si>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</si>
  <si>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</si>
  <si>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</si>
  <si>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</si>
  <si>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</si>
  <si>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</si>
  <si>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</si>
  <si>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</si>
  <si>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</si>
  <si>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</si>
  <si>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Market</t>
  </si>
  <si>
    <t>Nasdaq</t>
  </si>
  <si>
    <t>Leverage for Nasdaq</t>
  </si>
  <si>
    <t>SQQQ</t>
  </si>
  <si>
    <t>SPXU</t>
  </si>
  <si>
    <t>Countries</t>
  </si>
  <si>
    <t>Percentage</t>
  </si>
  <si>
    <t>US</t>
  </si>
  <si>
    <t>International</t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</si>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</sst>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0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8"/>
              <c:layout>
                <c:manualLayout>
                  <c:x val="-3.3441679887968997E-3"/>
                  <c:y val="6.907511617330264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2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6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CF-40A1-9717-6037CE8F09E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Sheet1!$D$56:$D$72</c:f>
              <c:strCache>
                <c:ptCount val="17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JP Stocks</c:v>
                </c:pt>
                <c:pt idx="8">
                  <c:v>Nasdaq</c:v>
                </c:pt>
                <c:pt idx="9">
                  <c:v>Regional Bank</c:v>
                </c:pt>
                <c:pt idx="10">
                  <c:v>Short</c:v>
                </c:pt>
                <c:pt idx="11">
                  <c:v>Bonds</c:v>
                </c:pt>
                <c:pt idx="12">
                  <c:v>Core</c:v>
                </c:pt>
                <c:pt idx="13">
                  <c:v>Gold</c:v>
                </c:pt>
                <c:pt idx="14">
                  <c:v>Commodities</c:v>
                </c:pt>
                <c:pt idx="15">
                  <c:v>Crypto</c:v>
                </c:pt>
                <c:pt idx="16">
                  <c:v>Cash</c:v>
                </c:pt>
              </c:strCache>
            </c:strRef>
          </c:cat>
          <c:val>
            <c:numRef>
              <c:f>Sheet1!$E$56:$E$72</c:f>
              <c:numCache>
                <c:formatCode>General</c:formatCode>
                <c:ptCount val="17"/>
                <c:pt idx="0">
                  <c:v>0</c:v>
                </c:pt>
                <c:pt idx="1">
                  <c:v>3.5999999999999997E-2</c:v>
                </c:pt>
                <c:pt idx="2">
                  <c:v>0.10100000000000001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8.1000000000000003E-2</c:v>
                </c:pt>
                <c:pt idx="7">
                  <c:v>9.2999999999999999E-2</c:v>
                </c:pt>
                <c:pt idx="8">
                  <c:v>0.01</c:v>
                </c:pt>
                <c:pt idx="9">
                  <c:v>0</c:v>
                </c:pt>
                <c:pt idx="10">
                  <c:v>0</c:v>
                </c:pt>
                <c:pt idx="11">
                  <c:v>0.08</c:v>
                </c:pt>
                <c:pt idx="12">
                  <c:v>0</c:v>
                </c:pt>
                <c:pt idx="13">
                  <c:v>3.9E-2</c:v>
                </c:pt>
                <c:pt idx="14">
                  <c:v>0</c:v>
                </c:pt>
                <c:pt idx="15">
                  <c:v>0</c:v>
                </c:pt>
                <c:pt idx="16">
                  <c:v>0.55999999999999994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Sheet1!$J$56:$J$58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Sheet1!$K$56:$K$58</c:f>
              <c:numCache>
                <c:formatCode>0%</c:formatCode>
                <c:ptCount val="3"/>
                <c:pt idx="0">
                  <c:v>0.31733039436986288</c:v>
                </c:pt>
                <c:pt idx="1">
                  <c:v>0.59587298904809627</c:v>
                </c:pt>
                <c:pt idx="2">
                  <c:v>8.6796616582040853E-2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6</xdr:row>
      <xdr:rowOff>61118</xdr:rowOff>
    </xdr:from>
    <xdr:to>
      <xdr:col>8</xdr:col>
      <xdr:colOff>2405063</xdr:colOff>
      <xdr:row>19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5:I76" totalsRowShown="0" headerRowDxfId="13" dataDxfId="11" headerRowBorderDxfId="12" tableBorderDxfId="10" totalsRowBorderDxfId="9">
  <autoFilter ref="A25:I76" xr:uid="{00000000-0009-0000-0100-000001000000}"/>
  <sortState xmlns:xlrd2="http://schemas.microsoft.com/office/spreadsheetml/2017/richdata2" ref="A26:I75">
    <sortCondition ref="A25:A75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84"/>
  <sheetViews>
    <sheetView tabSelected="1" zoomScale="120" zoomScaleNormal="120" workbookViewId="0">
      <selection activeCell="C1" sqref="C1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5" t="s">
        <v>0</v>
      </c>
      <c r="B1" s="105"/>
      <c r="C1" s="12">
        <v>45344</v>
      </c>
      <c r="E1" s="14"/>
      <c r="F1" s="14"/>
      <c r="G1" s="43"/>
      <c r="H1" s="14"/>
      <c r="J1" s="66"/>
      <c r="K1" s="80"/>
    </row>
    <row r="2" spans="1:12" s="13" customFormat="1" x14ac:dyDescent="0.25">
      <c r="A2" s="105" t="s">
        <v>10</v>
      </c>
      <c r="B2" s="105"/>
      <c r="C2" s="15">
        <f>C23/C22</f>
        <v>1.7808162868845754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07" t="s">
        <v>38</v>
      </c>
      <c r="B3" s="108"/>
      <c r="C3" s="15">
        <f>SUM(0)/C22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63</v>
      </c>
      <c r="B4" s="57"/>
      <c r="C4" s="15">
        <f>SUM(H26:H27)/C22</f>
        <v>0.1443857359017445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51</v>
      </c>
      <c r="B5" s="57"/>
      <c r="C5" s="15">
        <f>SUM(H28:H29)/C22</f>
        <v>0.4041130584383904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107" t="s">
        <v>49</v>
      </c>
      <c r="B6" s="108"/>
      <c r="C6" s="15">
        <f>SUM(0)/C22</f>
        <v>0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46</v>
      </c>
      <c r="B7" s="57"/>
      <c r="C7" s="15">
        <f>SUM(0)/C22</f>
        <v>0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56" t="s">
        <v>50</v>
      </c>
      <c r="B8" s="57"/>
      <c r="C8" s="15">
        <f>SUM(0)/C22</f>
        <v>0</v>
      </c>
      <c r="D8"/>
      <c r="E8" s="23"/>
      <c r="F8" s="17"/>
      <c r="G8" s="17"/>
      <c r="H8" s="16"/>
      <c r="J8" s="66"/>
      <c r="K8" s="80"/>
      <c r="L8" s="64"/>
    </row>
    <row r="9" spans="1:12" s="13" customFormat="1" x14ac:dyDescent="0.25">
      <c r="A9" s="107" t="s">
        <v>40</v>
      </c>
      <c r="B9" s="108"/>
      <c r="C9" s="15">
        <f>SUM(H30:H38)/C22</f>
        <v>0.32333550722140048</v>
      </c>
      <c r="D9"/>
      <c r="E9" s="23"/>
      <c r="F9" s="17"/>
      <c r="G9" s="17"/>
      <c r="H9" s="16"/>
      <c r="J9" s="66"/>
      <c r="K9" s="80"/>
      <c r="L9" s="36"/>
    </row>
    <row r="10" spans="1:12" s="13" customFormat="1" x14ac:dyDescent="0.25">
      <c r="A10" s="107" t="s">
        <v>72</v>
      </c>
      <c r="B10" s="108"/>
      <c r="C10" s="15">
        <f>SUM(H39:H41)/C22</f>
        <v>0.37301602848021076</v>
      </c>
      <c r="D10"/>
      <c r="E10" s="23"/>
      <c r="F10" s="17"/>
      <c r="G10" s="17"/>
      <c r="H10" s="16"/>
      <c r="J10" s="66"/>
      <c r="K10" s="80"/>
    </row>
    <row r="11" spans="1:12" s="13" customFormat="1" x14ac:dyDescent="0.25">
      <c r="A11" s="107" t="s">
        <v>81</v>
      </c>
      <c r="B11" s="108"/>
      <c r="C11" s="15">
        <f>SUM(H42)/C22</f>
        <v>4.000274100868096E-2</v>
      </c>
      <c r="D11"/>
      <c r="E11" s="23"/>
      <c r="F11" s="17"/>
      <c r="G11" s="17"/>
      <c r="H11" s="16"/>
      <c r="J11" s="66"/>
      <c r="K11" s="80"/>
    </row>
    <row r="12" spans="1:12" s="13" customFormat="1" x14ac:dyDescent="0.25">
      <c r="A12" s="56" t="s">
        <v>57</v>
      </c>
      <c r="B12" s="57"/>
      <c r="C12" s="15">
        <f>SUM(0)/C22</f>
        <v>0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56" t="s">
        <v>65</v>
      </c>
      <c r="B13" s="57"/>
      <c r="C13" s="15">
        <f>SUM(0)/C22</f>
        <v>0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107" t="s">
        <v>26</v>
      </c>
      <c r="B14" s="108"/>
      <c r="C14" s="15">
        <f>SUM(0)/C22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107" t="s">
        <v>25</v>
      </c>
      <c r="B15" s="108"/>
      <c r="C15" s="15">
        <f>SUM(H46:H51)/C22</f>
        <v>0.3214818658705213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56" t="s">
        <v>67</v>
      </c>
      <c r="B16" s="57"/>
      <c r="C16" s="15">
        <f>SUM(0)/C22</f>
        <v>0</v>
      </c>
      <c r="D16"/>
      <c r="E16" s="23"/>
      <c r="F16" s="17"/>
      <c r="G16" s="17"/>
      <c r="H16" s="16"/>
      <c r="J16" s="66"/>
      <c r="K16" s="80"/>
    </row>
    <row r="17" spans="1:17" s="13" customFormat="1" ht="27.75" customHeight="1" x14ac:dyDescent="0.25">
      <c r="A17" s="106" t="s">
        <v>37</v>
      </c>
      <c r="B17" s="106"/>
      <c r="C17" s="15">
        <f>SUM(0)/C22</f>
        <v>0</v>
      </c>
      <c r="D17" s="22"/>
      <c r="E17" s="16"/>
      <c r="F17" s="17"/>
      <c r="G17" s="17"/>
      <c r="H17" s="16"/>
      <c r="J17" s="66"/>
      <c r="K17" s="80"/>
    </row>
    <row r="18" spans="1:17" s="13" customFormat="1" x14ac:dyDescent="0.25">
      <c r="A18" s="107" t="s">
        <v>39</v>
      </c>
      <c r="B18" s="108"/>
      <c r="C18" s="15">
        <f>SUM(H52)/C22</f>
        <v>0.15456882845577416</v>
      </c>
      <c r="D18"/>
      <c r="E18" s="23"/>
      <c r="F18" s="17"/>
      <c r="G18" s="17"/>
      <c r="H18" s="16"/>
      <c r="J18" s="66"/>
      <c r="K18" s="80"/>
    </row>
    <row r="19" spans="1:17" s="13" customFormat="1" ht="12.75" x14ac:dyDescent="0.25">
      <c r="A19" s="105" t="s">
        <v>8</v>
      </c>
      <c r="B19" s="105"/>
      <c r="C19" s="18">
        <v>46880552</v>
      </c>
      <c r="D19" s="24"/>
      <c r="E19" s="17"/>
      <c r="F19" s="17"/>
      <c r="G19" s="17"/>
      <c r="H19" s="16"/>
      <c r="J19" s="66"/>
      <c r="K19" s="80"/>
    </row>
    <row r="20" spans="1:17" s="13" customFormat="1" ht="12.75" x14ac:dyDescent="0.25">
      <c r="A20" s="105" t="s">
        <v>6</v>
      </c>
      <c r="B20" s="105"/>
      <c r="C20" s="18">
        <v>0</v>
      </c>
      <c r="F20" s="17"/>
      <c r="H20" s="36"/>
      <c r="J20" s="66"/>
      <c r="K20" s="80"/>
    </row>
    <row r="21" spans="1:17" s="13" customFormat="1" ht="12.75" x14ac:dyDescent="0.25">
      <c r="A21" s="105" t="s">
        <v>7</v>
      </c>
      <c r="B21" s="105"/>
      <c r="C21" s="18">
        <v>0</v>
      </c>
      <c r="D21" s="21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5" t="s">
        <v>9</v>
      </c>
      <c r="B22" s="105"/>
      <c r="C22" s="18">
        <f>C19+C20-C21</f>
        <v>46880552</v>
      </c>
      <c r="D22" s="21"/>
      <c r="E22" s="17"/>
      <c r="F22" s="17"/>
      <c r="G22" s="17"/>
      <c r="H22" s="16"/>
      <c r="J22" s="66"/>
      <c r="K22" s="80"/>
    </row>
    <row r="23" spans="1:17" s="13" customFormat="1" ht="27.75" customHeight="1" x14ac:dyDescent="0.25">
      <c r="A23" s="106" t="s">
        <v>5</v>
      </c>
      <c r="B23" s="106"/>
      <c r="C23" s="11">
        <f t="array" ref="C23">SUM(ABS(Table132[Target allocation ($)]))</f>
        <v>83485650.539739251</v>
      </c>
      <c r="D23" s="21" t="s">
        <v>22</v>
      </c>
      <c r="E23" s="17"/>
      <c r="F23" s="17"/>
      <c r="G23" s="17"/>
      <c r="H23" s="16"/>
      <c r="J23" s="66"/>
      <c r="K23" s="80"/>
    </row>
    <row r="24" spans="1:17" s="8" customFormat="1" ht="2.25" customHeight="1" x14ac:dyDescent="0.2">
      <c r="A24" s="6"/>
      <c r="B24" s="6"/>
      <c r="C24" s="4"/>
      <c r="D24" s="1"/>
      <c r="E24" s="1"/>
      <c r="F24" s="1"/>
      <c r="G24" s="1"/>
      <c r="H24" s="37"/>
      <c r="I24" s="1"/>
      <c r="J24" s="67"/>
      <c r="K24" s="80"/>
    </row>
    <row r="25" spans="1:17" s="2" customFormat="1" ht="12.75" x14ac:dyDescent="0.25">
      <c r="A25" s="7" t="s">
        <v>12</v>
      </c>
      <c r="B25" s="7" t="s">
        <v>13</v>
      </c>
      <c r="C25" s="7" t="s">
        <v>15</v>
      </c>
      <c r="D25" s="7" t="s">
        <v>16</v>
      </c>
      <c r="E25" s="7" t="s">
        <v>17</v>
      </c>
      <c r="F25" s="9" t="s">
        <v>4</v>
      </c>
      <c r="G25" s="7" t="s">
        <v>18</v>
      </c>
      <c r="H25" s="38" t="s">
        <v>19</v>
      </c>
      <c r="I25" s="10" t="s">
        <v>1</v>
      </c>
      <c r="J25" s="93" t="s">
        <v>75</v>
      </c>
      <c r="K25" s="93" t="s">
        <v>76</v>
      </c>
    </row>
    <row r="26" spans="1:17" x14ac:dyDescent="0.25">
      <c r="A26" s="34" t="s">
        <v>62</v>
      </c>
      <c r="B26" s="34" t="s">
        <v>14</v>
      </c>
      <c r="C26" s="94">
        <v>87.35</v>
      </c>
      <c r="D26" s="34">
        <v>43100</v>
      </c>
      <c r="E26" s="34">
        <v>43100</v>
      </c>
      <c r="F26" s="33">
        <f>Table132[[#This Row],[New position]]-Table132[[#This Row],[Old position]]</f>
        <v>0</v>
      </c>
      <c r="G26" s="34">
        <f>ROUND(Table132[[#This Row],[Target allocation ($)]]/(IF(G73&gt;0, G55,E55)*C22)*100,3)</f>
        <v>2.008</v>
      </c>
      <c r="H26" s="39">
        <f>Table132[[#This Row],[New position]]*Table132[[#This Row],[Last_Price]]</f>
        <v>3764784.9999999995</v>
      </c>
      <c r="I26" s="27"/>
      <c r="J26" s="95"/>
      <c r="K26" s="95"/>
      <c r="L26"/>
      <c r="M26"/>
      <c r="N26"/>
      <c r="O26"/>
      <c r="P26"/>
      <c r="Q26"/>
    </row>
    <row r="27" spans="1:17" x14ac:dyDescent="0.25">
      <c r="A27" s="44" t="s">
        <v>78</v>
      </c>
      <c r="B27" s="34" t="s">
        <v>14</v>
      </c>
      <c r="C27" s="94">
        <v>145.83000000000001</v>
      </c>
      <c r="D27" s="34">
        <v>20600</v>
      </c>
      <c r="E27" s="34">
        <v>20600</v>
      </c>
      <c r="F27" s="33">
        <f>Table132[[#This Row],[New position]]-Table132[[#This Row],[Old position]]</f>
        <v>0</v>
      </c>
      <c r="G27" s="34">
        <f>ROUND(Table132[[#This Row],[Target allocation ($)]]/(IF(G73&gt;0, G55,E55)*C22)*100,3)</f>
        <v>1.6020000000000001</v>
      </c>
      <c r="H27" s="39">
        <f>Table132[[#This Row],[New position]]*Table132[[#This Row],[Last_Price]]</f>
        <v>3004098.0000000005</v>
      </c>
      <c r="I27" s="98"/>
      <c r="J27" s="95"/>
      <c r="K27" s="95"/>
      <c r="L27"/>
      <c r="M27"/>
      <c r="N27"/>
      <c r="O27"/>
      <c r="P27"/>
      <c r="Q27"/>
    </row>
    <row r="28" spans="1:17" x14ac:dyDescent="0.25">
      <c r="A28" s="44" t="s">
        <v>77</v>
      </c>
      <c r="B28" s="44" t="s">
        <v>14</v>
      </c>
      <c r="C28" s="94">
        <v>208.31</v>
      </c>
      <c r="D28" s="34">
        <v>0</v>
      </c>
      <c r="E28" s="34">
        <v>8850</v>
      </c>
      <c r="F28" s="33">
        <f>Table132[[#This Row],[New position]]-Table132[[#This Row],[Old position]]</f>
        <v>8850</v>
      </c>
      <c r="G28" s="34">
        <f>ROUND(Table132[[#This Row],[Target allocation ($)]]/(IF(G73&gt;0, G55,E55)*C22)*100,3)</f>
        <v>0.98299999999999998</v>
      </c>
      <c r="H28" s="39">
        <f>Table132[[#This Row],[New position]]*Table132[[#This Row],[Last_Price]]</f>
        <v>1843543.5</v>
      </c>
      <c r="I28" s="27"/>
      <c r="J28" s="95" t="s">
        <v>79</v>
      </c>
      <c r="K28" s="95">
        <v>209.27</v>
      </c>
      <c r="L28"/>
      <c r="M28"/>
      <c r="N28"/>
      <c r="O28"/>
      <c r="P28"/>
      <c r="Q28"/>
    </row>
    <row r="29" spans="1:17" x14ac:dyDescent="0.25">
      <c r="A29" s="34" t="s">
        <v>68</v>
      </c>
      <c r="B29" s="34" t="s">
        <v>14</v>
      </c>
      <c r="C29" s="94">
        <v>64.37</v>
      </c>
      <c r="D29" s="34">
        <v>251933</v>
      </c>
      <c r="E29" s="34">
        <v>265675</v>
      </c>
      <c r="F29" s="33">
        <f>Table132[[#This Row],[New position]]-Table132[[#This Row],[Old position]]</f>
        <v>13742</v>
      </c>
      <c r="G29" s="34">
        <f>ROUND(Table132[[#This Row],[Target allocation ($)]]/(IF(G73&gt;0, G55,E55)*C22)*100,3)</f>
        <v>9.1199999999999992</v>
      </c>
      <c r="H29" s="39">
        <f>Table132[[#This Row],[New position]]*Table132[[#This Row],[Last_Price]]</f>
        <v>17101499.75</v>
      </c>
      <c r="I29" s="27"/>
      <c r="J29" s="95" t="s">
        <v>79</v>
      </c>
      <c r="K29" s="95">
        <v>64.61</v>
      </c>
      <c r="L29"/>
      <c r="M29"/>
      <c r="N29"/>
      <c r="O29"/>
      <c r="P29"/>
      <c r="Q29"/>
    </row>
    <row r="30" spans="1:17" x14ac:dyDescent="0.25">
      <c r="A30" s="34">
        <v>600519</v>
      </c>
      <c r="B30" s="34" t="s">
        <v>14</v>
      </c>
      <c r="C30" s="94">
        <v>240.02513966480399</v>
      </c>
      <c r="D30" s="34">
        <v>900</v>
      </c>
      <c r="E30" s="34">
        <v>900</v>
      </c>
      <c r="F30" s="33">
        <f>Table132[[#This Row],[New position]]-Table132[[#This Row],[Old position]]</f>
        <v>0</v>
      </c>
      <c r="G30" s="34">
        <f>ROUND(Table132[[#This Row],[Target allocation ($)]]/(IF(G73&gt;0, G55,E55)*C22)*100,3)</f>
        <v>0.115</v>
      </c>
      <c r="H30" s="39">
        <f>Table132[[#This Row],[New position]]*Table132[[#This Row],[Last_Price]]</f>
        <v>216022.62569832359</v>
      </c>
      <c r="I30" s="52"/>
      <c r="J30" s="95"/>
      <c r="K30" s="95"/>
      <c r="L30"/>
      <c r="M30"/>
      <c r="N30"/>
      <c r="O30"/>
      <c r="P30"/>
      <c r="Q30"/>
    </row>
    <row r="31" spans="1:17" x14ac:dyDescent="0.25">
      <c r="A31" s="34">
        <v>700</v>
      </c>
      <c r="B31" s="34" t="s">
        <v>14</v>
      </c>
      <c r="C31" s="46">
        <v>37.186700767263403</v>
      </c>
      <c r="D31" s="34">
        <v>15300</v>
      </c>
      <c r="E31" s="34">
        <v>15300</v>
      </c>
      <c r="F31" s="33">
        <f>Table132[[#This Row],[New position]]-Table132[[#This Row],[Old position]]</f>
        <v>0</v>
      </c>
      <c r="G31" s="34">
        <f>ROUND(Table132[[#This Row],[Target allocation ($)]]/(IF(G73&gt;0, G55,E55)*C22)*100,3)</f>
        <v>0.30299999999999999</v>
      </c>
      <c r="H31" s="39">
        <f>Table132[[#This Row],[New position]]*Table132[[#This Row],[Last_Price]]</f>
        <v>568956.52173913002</v>
      </c>
      <c r="I31" s="52"/>
      <c r="J31" s="95"/>
      <c r="K31" s="95"/>
      <c r="L31"/>
      <c r="M31"/>
      <c r="N31"/>
      <c r="O31"/>
      <c r="P31"/>
      <c r="Q31"/>
    </row>
    <row r="32" spans="1:17" x14ac:dyDescent="0.25">
      <c r="A32" s="34">
        <v>9988</v>
      </c>
      <c r="B32" s="34" t="s">
        <v>14</v>
      </c>
      <c r="C32" s="46">
        <v>9.5524296675191795</v>
      </c>
      <c r="D32" s="34">
        <v>22000</v>
      </c>
      <c r="E32" s="34">
        <v>22000</v>
      </c>
      <c r="F32" s="33">
        <f>Table132[[#This Row],[New position]]-Table132[[#This Row],[Old position]]</f>
        <v>0</v>
      </c>
      <c r="G32" s="34">
        <f>ROUND(Table132[[#This Row],[Target allocation ($)]]/(IF(G73&gt;0, G55,E55)*C22)*100,3)</f>
        <v>0.112</v>
      </c>
      <c r="H32" s="39">
        <f>Table132[[#This Row],[New position]]*Table132[[#This Row],[Last_Price]]</f>
        <v>210153.45268542194</v>
      </c>
      <c r="I32" s="27"/>
      <c r="J32" s="95"/>
      <c r="K32" s="95"/>
      <c r="L32"/>
      <c r="M32"/>
      <c r="N32"/>
      <c r="O32"/>
      <c r="P32"/>
      <c r="Q32"/>
    </row>
    <row r="33" spans="1:17" x14ac:dyDescent="0.25">
      <c r="A33" s="44">
        <v>9888</v>
      </c>
      <c r="B33" s="34" t="s">
        <v>14</v>
      </c>
      <c r="C33" s="94">
        <v>13.631713554987201</v>
      </c>
      <c r="D33" s="34">
        <v>15600</v>
      </c>
      <c r="E33" s="34">
        <v>15600</v>
      </c>
      <c r="F33" s="33">
        <f>Table132[[#This Row],[New position]]-Table132[[#This Row],[Old position]]</f>
        <v>0</v>
      </c>
      <c r="G33" s="34">
        <f>ROUND(Table132[[#This Row],[Target allocation ($)]]/(IF(G73&gt;0, G55,E55)*C22)*100,3)</f>
        <v>0.113</v>
      </c>
      <c r="H33" s="39">
        <f>Table132[[#This Row],[New position]]*Table132[[#This Row],[Last_Price]]</f>
        <v>212654.73145780034</v>
      </c>
      <c r="I33" s="27"/>
      <c r="J33" s="95"/>
      <c r="K33" s="95"/>
      <c r="L33"/>
      <c r="M33"/>
      <c r="N33"/>
      <c r="O33"/>
      <c r="P33"/>
      <c r="Q33"/>
    </row>
    <row r="34" spans="1:17" x14ac:dyDescent="0.25">
      <c r="A34" s="44">
        <v>857</v>
      </c>
      <c r="B34" s="44" t="s">
        <v>14</v>
      </c>
      <c r="C34" s="94">
        <v>0.80051150895140699</v>
      </c>
      <c r="D34" s="34">
        <v>1684000</v>
      </c>
      <c r="E34" s="34">
        <v>1684000</v>
      </c>
      <c r="F34" s="33">
        <f>Table132[[#This Row],[New position]]-Table132[[#This Row],[Old position]]</f>
        <v>0</v>
      </c>
      <c r="G34" s="34">
        <f>ROUND(Table132[[#This Row],[Target allocation ($)]]/(IF(G73&gt;0, G55,E55)*C22)*100,3)</f>
        <v>0.71899999999999997</v>
      </c>
      <c r="H34" s="39">
        <f>Table132[[#This Row],[New position]]*Table132[[#This Row],[Last_Price]]</f>
        <v>1348061.3810741694</v>
      </c>
      <c r="I34" s="59"/>
      <c r="J34" s="95"/>
      <c r="K34" s="96"/>
      <c r="L34"/>
      <c r="M34"/>
      <c r="N34"/>
      <c r="O34"/>
      <c r="P34"/>
      <c r="Q34"/>
    </row>
    <row r="35" spans="1:17" x14ac:dyDescent="0.25">
      <c r="A35" s="34">
        <v>883</v>
      </c>
      <c r="B35" s="34" t="s">
        <v>14</v>
      </c>
      <c r="C35" s="94">
        <v>2.08184143222506</v>
      </c>
      <c r="D35" s="34">
        <v>766000</v>
      </c>
      <c r="E35" s="34">
        <v>766000</v>
      </c>
      <c r="F35" s="33">
        <f>Table132[[#This Row],[New position]]-Table132[[#This Row],[Old position]]</f>
        <v>0</v>
      </c>
      <c r="G35" s="34">
        <f>ROUND(Table132[[#This Row],[Target allocation ($)]]/(IF(G73&gt;0, G55,E55)*C22)*100,3)</f>
        <v>0.85</v>
      </c>
      <c r="H35" s="39">
        <f>Table132[[#This Row],[New position]]*Table132[[#This Row],[Last_Price]]</f>
        <v>1594690.537084396</v>
      </c>
      <c r="I35" s="59"/>
      <c r="J35" s="95"/>
      <c r="K35" s="95"/>
      <c r="L35"/>
      <c r="M35"/>
      <c r="N35"/>
      <c r="O35"/>
      <c r="P35"/>
      <c r="Q35"/>
    </row>
    <row r="36" spans="1:17" x14ac:dyDescent="0.25">
      <c r="A36" s="34" t="s">
        <v>74</v>
      </c>
      <c r="B36" s="34" t="s">
        <v>14</v>
      </c>
      <c r="C36" s="94">
        <v>44.01</v>
      </c>
      <c r="D36" s="34">
        <v>239592</v>
      </c>
      <c r="E36" s="34">
        <v>239592</v>
      </c>
      <c r="F36" s="33">
        <f>Table132[[#This Row],[New position]]-Table132[[#This Row],[Old position]]</f>
        <v>0</v>
      </c>
      <c r="G36" s="34">
        <f>ROUND(Table132[[#This Row],[Target allocation ($)]]/(IF(G73&gt;0, G55,E55)*C22)*100,3)</f>
        <v>5.6230000000000002</v>
      </c>
      <c r="H36" s="39">
        <f>Table132[[#This Row],[New position]]*Table132[[#This Row],[Last_Price]]</f>
        <v>10544443.92</v>
      </c>
      <c r="I36" s="65"/>
      <c r="J36" s="95"/>
      <c r="K36" s="97"/>
      <c r="L36"/>
      <c r="M36"/>
      <c r="N36"/>
      <c r="O36"/>
      <c r="P36"/>
      <c r="Q36"/>
    </row>
    <row r="37" spans="1:17" x14ac:dyDescent="0.25">
      <c r="A37" s="34" t="s">
        <v>58</v>
      </c>
      <c r="B37" s="34" t="s">
        <v>14</v>
      </c>
      <c r="C37" s="46">
        <v>94.28</v>
      </c>
      <c r="D37" s="34">
        <v>1650</v>
      </c>
      <c r="E37" s="34">
        <v>1650</v>
      </c>
      <c r="F37" s="33">
        <f>Table132[[#This Row],[New position]]-Table132[[#This Row],[Old position]]</f>
        <v>0</v>
      </c>
      <c r="G37" s="34">
        <f>ROUND(Table132[[#This Row],[Target allocation ($)]]/(IF(G73&gt;0, G55,E55)*C22)*100,3)</f>
        <v>8.3000000000000004E-2</v>
      </c>
      <c r="H37" s="39">
        <f>Table132[[#This Row],[New position]]*Table132[[#This Row],[Last_Price]]</f>
        <v>155562</v>
      </c>
      <c r="I37" s="59"/>
      <c r="J37" s="95"/>
      <c r="K37" s="95"/>
      <c r="L37"/>
      <c r="M37"/>
      <c r="N37"/>
      <c r="O37"/>
      <c r="P37"/>
      <c r="Q37"/>
    </row>
    <row r="38" spans="1:17" x14ac:dyDescent="0.25">
      <c r="A38" s="34" t="s">
        <v>60</v>
      </c>
      <c r="B38" s="34" t="s">
        <v>14</v>
      </c>
      <c r="C38" s="46">
        <v>23.39</v>
      </c>
      <c r="D38" s="34">
        <v>13151</v>
      </c>
      <c r="E38" s="34">
        <v>13151</v>
      </c>
      <c r="F38" s="33">
        <f>Table132[[#This Row],[New position]]-Table132[[#This Row],[Old position]]</f>
        <v>0</v>
      </c>
      <c r="G38" s="34">
        <f>ROUND(Table132[[#This Row],[Target allocation ($)]]/(IF(G73&gt;0, G55,E55)*C22)*100,3)</f>
        <v>0.16400000000000001</v>
      </c>
      <c r="H38" s="39">
        <f>Table132[[#This Row],[New position]]*Table132[[#This Row],[Last_Price]]</f>
        <v>307601.89</v>
      </c>
      <c r="I38" s="59"/>
      <c r="J38" s="97"/>
      <c r="K38" s="97"/>
      <c r="L38"/>
      <c r="M38"/>
      <c r="N38"/>
      <c r="O38"/>
      <c r="P38"/>
      <c r="Q38"/>
    </row>
    <row r="39" spans="1:17" x14ac:dyDescent="0.25">
      <c r="A39" s="44" t="s">
        <v>59</v>
      </c>
      <c r="B39" s="44" t="s">
        <v>14</v>
      </c>
      <c r="C39" s="46">
        <v>68.94</v>
      </c>
      <c r="D39" s="34">
        <v>21678</v>
      </c>
      <c r="E39" s="34">
        <v>21678</v>
      </c>
      <c r="F39" s="33">
        <f>Table132[[#This Row],[New position]]-Table132[[#This Row],[Old position]]</f>
        <v>0</v>
      </c>
      <c r="G39" s="34">
        <f>ROUND(Table132[[#This Row],[Target allocation ($)]]/(IF(G73&gt;0, G55,E55)*C22)*100,3)</f>
        <v>0.79700000000000004</v>
      </c>
      <c r="H39" s="39">
        <f>Table132[[#This Row],[New position]]*Table132[[#This Row],[Last_Price]]</f>
        <v>1494481.32</v>
      </c>
      <c r="I39" s="61"/>
      <c r="J39" s="97"/>
      <c r="K39" s="97"/>
      <c r="L39"/>
      <c r="M39"/>
      <c r="N39"/>
      <c r="O39"/>
      <c r="P39"/>
      <c r="Q39"/>
    </row>
    <row r="40" spans="1:17" x14ac:dyDescent="0.25">
      <c r="A40" s="44" t="s">
        <v>69</v>
      </c>
      <c r="B40" s="44" t="s">
        <v>14</v>
      </c>
      <c r="C40" s="46">
        <v>31.45</v>
      </c>
      <c r="D40" s="34">
        <v>3400</v>
      </c>
      <c r="E40" s="34">
        <v>3400</v>
      </c>
      <c r="F40" s="33">
        <f>Table132[[#This Row],[New position]]-Table132[[#This Row],[Old position]]</f>
        <v>0</v>
      </c>
      <c r="G40" s="34">
        <f>ROUND(Table132[[#This Row],[Target allocation ($)]]/(IF(G73&gt;0, G55,E55)*C22)*100,3)</f>
        <v>5.7000000000000002E-2</v>
      </c>
      <c r="H40" s="39">
        <f>Table132[[#This Row],[New position]]*Table132[[#This Row],[Last_Price]]</f>
        <v>106930</v>
      </c>
      <c r="I40" s="61"/>
      <c r="J40" s="97"/>
      <c r="K40" s="97"/>
      <c r="L40"/>
      <c r="M40"/>
      <c r="N40"/>
      <c r="O40"/>
      <c r="P40"/>
      <c r="Q40"/>
    </row>
    <row r="41" spans="1:17" x14ac:dyDescent="0.25">
      <c r="A41" s="44" t="s">
        <v>70</v>
      </c>
      <c r="B41" s="34" t="s">
        <v>14</v>
      </c>
      <c r="C41" s="46">
        <v>102</v>
      </c>
      <c r="D41" s="34">
        <v>147393</v>
      </c>
      <c r="E41" s="34">
        <v>155743</v>
      </c>
      <c r="F41" s="33">
        <f>Table132[[#This Row],[New position]]-Table132[[#This Row],[Old position]]</f>
        <v>8350</v>
      </c>
      <c r="G41" s="34">
        <f>ROUND(Table132[[#This Row],[Target allocation ($)]]/(IF(G73&gt;0, G55,E55)*C22)*100,3)</f>
        <v>8.4710000000000001</v>
      </c>
      <c r="H41" s="39">
        <f>Table132[[#This Row],[New position]]*Table132[[#This Row],[Last_Price]]</f>
        <v>15885786</v>
      </c>
      <c r="I41" s="49"/>
      <c r="J41" s="95" t="s">
        <v>79</v>
      </c>
      <c r="K41" s="97">
        <v>103</v>
      </c>
      <c r="L41"/>
      <c r="M41"/>
      <c r="N41"/>
      <c r="O41"/>
      <c r="P41"/>
      <c r="Q41"/>
    </row>
    <row r="42" spans="1:17" x14ac:dyDescent="0.25">
      <c r="A42" s="44" t="s">
        <v>11</v>
      </c>
      <c r="B42" s="34" t="s">
        <v>14</v>
      </c>
      <c r="C42" s="46">
        <v>434.31</v>
      </c>
      <c r="D42" s="34">
        <v>0</v>
      </c>
      <c r="E42" s="34">
        <v>4318</v>
      </c>
      <c r="F42" s="33">
        <f>Table132[[#This Row],[New position]]-Table132[[#This Row],[Old position]]</f>
        <v>4318</v>
      </c>
      <c r="G42" s="34">
        <f>ROUND(Table132[[#This Row],[Target allocation ($)]]/(IF(G73&gt;0, G55,E55)*C22)*100,3)</f>
        <v>1</v>
      </c>
      <c r="H42" s="39">
        <f>Table132[[#This Row],[New position]]*Table132[[#This Row],[Last_Price]]</f>
        <v>1875350.58</v>
      </c>
      <c r="I42" s="99"/>
      <c r="J42" s="95" t="s">
        <v>79</v>
      </c>
      <c r="K42" s="97">
        <v>436.68</v>
      </c>
      <c r="L42"/>
      <c r="M42"/>
      <c r="N42"/>
      <c r="O42"/>
      <c r="P42"/>
      <c r="Q42"/>
    </row>
    <row r="43" spans="1:17" x14ac:dyDescent="0.25">
      <c r="A43" s="44" t="s">
        <v>82</v>
      </c>
      <c r="B43" s="34" t="s">
        <v>14</v>
      </c>
      <c r="C43" s="46">
        <v>12.1</v>
      </c>
      <c r="D43" s="34">
        <v>410000</v>
      </c>
      <c r="E43" s="34">
        <v>0</v>
      </c>
      <c r="F43" s="33">
        <f>Table132[[#This Row],[New position]]-Table132[[#This Row],[Old position]]</f>
        <v>-410000</v>
      </c>
      <c r="G43" s="34">
        <f>ROUND(Table132[[#This Row],[Target allocation ($)]]/(IF(G73&gt;0, G55,E55)*C22)*100,3)</f>
        <v>0</v>
      </c>
      <c r="H43" s="39">
        <f>Table132[[#This Row],[New position]]*Table132[[#This Row],[Last_Price]]</f>
        <v>0</v>
      </c>
      <c r="I43" s="100"/>
      <c r="J43" s="95" t="s">
        <v>79</v>
      </c>
      <c r="K43" s="97">
        <v>11.375</v>
      </c>
      <c r="L43"/>
      <c r="M43"/>
      <c r="N43"/>
      <c r="O43"/>
      <c r="P43"/>
      <c r="Q43"/>
    </row>
    <row r="44" spans="1:17" x14ac:dyDescent="0.25">
      <c r="A44" s="44" t="s">
        <v>83</v>
      </c>
      <c r="B44" s="34" t="s">
        <v>14</v>
      </c>
      <c r="C44" s="46">
        <v>7.72</v>
      </c>
      <c r="D44" s="34">
        <v>250000</v>
      </c>
      <c r="E44" s="34">
        <v>0</v>
      </c>
      <c r="F44" s="33">
        <f>Table132[[#This Row],[New position]]-Table132[[#This Row],[Old position]]</f>
        <v>-250000</v>
      </c>
      <c r="G44" s="34">
        <f>ROUND(Table132[[#This Row],[Target allocation ($)]]/(IF(G73&gt;0, G55,E55)*C22)*100,3)</f>
        <v>0</v>
      </c>
      <c r="H44" s="39">
        <f>Table132[[#This Row],[New position]]*Table132[[#This Row],[Last_Price]]</f>
        <v>0</v>
      </c>
      <c r="I44" s="100"/>
      <c r="J44" s="95" t="s">
        <v>79</v>
      </c>
      <c r="K44" s="97">
        <v>7.38</v>
      </c>
      <c r="L44"/>
      <c r="M44"/>
      <c r="N44"/>
      <c r="O44"/>
      <c r="P44"/>
      <c r="Q44"/>
    </row>
    <row r="45" spans="1:17" x14ac:dyDescent="0.25">
      <c r="A45" s="44" t="s">
        <v>31</v>
      </c>
      <c r="B45" s="34" t="s">
        <v>14</v>
      </c>
      <c r="C45" s="46">
        <v>50.46</v>
      </c>
      <c r="D45" s="34">
        <v>0</v>
      </c>
      <c r="E45" s="34">
        <v>18500</v>
      </c>
      <c r="F45" s="33">
        <f>Table132[[#This Row],[New position]]-Table132[[#This Row],[Old position]]</f>
        <v>18500</v>
      </c>
      <c r="G45" s="34">
        <f>ROUND(Table132[[#This Row],[Target allocation ($)]]/(IF(G73&gt;0, G55,E55)*C22)*100,3)</f>
        <v>0.498</v>
      </c>
      <c r="H45" s="39">
        <f>Table132[[#This Row],[New position]]*Table132[[#This Row],[Last_Price]]</f>
        <v>933510</v>
      </c>
      <c r="I45" s="100"/>
      <c r="J45" s="95" t="s">
        <v>79</v>
      </c>
      <c r="K45" s="97">
        <v>49.74</v>
      </c>
      <c r="L45"/>
      <c r="M45"/>
      <c r="N45"/>
      <c r="O45"/>
      <c r="P45"/>
      <c r="Q45"/>
    </row>
    <row r="46" spans="1:17" x14ac:dyDescent="0.25">
      <c r="A46" s="44" t="s">
        <v>32</v>
      </c>
      <c r="B46" s="44" t="s">
        <v>14</v>
      </c>
      <c r="C46" s="46">
        <v>79.69</v>
      </c>
      <c r="D46" s="34">
        <v>36312</v>
      </c>
      <c r="E46" s="34">
        <v>36312</v>
      </c>
      <c r="F46" s="33">
        <f>Table132[[#This Row],[New position]]-Table132[[#This Row],[Old position]]</f>
        <v>0</v>
      </c>
      <c r="G46" s="34">
        <f>ROUND(Table132[[#This Row],[Target allocation ($)]]/(IF(G73&gt;0, G55,E55)*C22)*100,3)</f>
        <v>1.5429999999999999</v>
      </c>
      <c r="H46" s="39">
        <f>Table132[[#This Row],[New position]]*Table132[[#This Row],[Last_Price]]</f>
        <v>2893703.28</v>
      </c>
      <c r="I46" s="26"/>
      <c r="J46" s="97"/>
      <c r="K46" s="97"/>
      <c r="L46"/>
      <c r="M46"/>
      <c r="N46"/>
      <c r="O46"/>
      <c r="P46"/>
      <c r="Q46"/>
    </row>
    <row r="47" spans="1:17" x14ac:dyDescent="0.25">
      <c r="A47" s="44" t="s">
        <v>33</v>
      </c>
      <c r="B47" s="44" t="s">
        <v>14</v>
      </c>
      <c r="C47" s="46">
        <v>70.650000000000006</v>
      </c>
      <c r="D47" s="34">
        <v>38350</v>
      </c>
      <c r="E47" s="34">
        <v>38350</v>
      </c>
      <c r="F47" s="33">
        <f>Table132[[#This Row],[New position]]-Table132[[#This Row],[Old position]]</f>
        <v>0</v>
      </c>
      <c r="G47" s="34">
        <f>ROUND(Table132[[#This Row],[Target allocation ($)]]/(IF(G73&gt;0, G55,E55)*C22)*100,3)</f>
        <v>1.4450000000000001</v>
      </c>
      <c r="H47" s="39">
        <f>Table132[[#This Row],[New position]]*Table132[[#This Row],[Last_Price]]</f>
        <v>2709427.5</v>
      </c>
      <c r="I47" s="26"/>
      <c r="J47" s="97"/>
      <c r="K47" s="97"/>
      <c r="L47"/>
      <c r="M47"/>
      <c r="N47"/>
      <c r="O47"/>
      <c r="P47"/>
      <c r="Q47"/>
    </row>
    <row r="48" spans="1:17" x14ac:dyDescent="0.25">
      <c r="A48" s="44" t="s">
        <v>41</v>
      </c>
      <c r="B48" s="44" t="s">
        <v>14</v>
      </c>
      <c r="C48" s="46">
        <v>92.46</v>
      </c>
      <c r="D48" s="34">
        <v>30000</v>
      </c>
      <c r="E48" s="34">
        <v>30000</v>
      </c>
      <c r="F48" s="33">
        <f>Table132[[#This Row],[New position]]-Table132[[#This Row],[Old position]]</f>
        <v>0</v>
      </c>
      <c r="G48" s="34">
        <f>ROUND(Table132[[#This Row],[Target allocation ($)]]/(IF(G73&gt;0, G55,E55)*C22)*100,3)</f>
        <v>1.4790000000000001</v>
      </c>
      <c r="H48" s="39">
        <f>Table132[[#This Row],[New position]]*Table132[[#This Row],[Last_Price]]</f>
        <v>2773800</v>
      </c>
      <c r="I48" s="26"/>
      <c r="J48" s="97"/>
      <c r="K48" s="97"/>
      <c r="L48"/>
      <c r="M48"/>
      <c r="N48"/>
      <c r="O48"/>
      <c r="P48"/>
      <c r="Q48"/>
    </row>
    <row r="49" spans="1:17" x14ac:dyDescent="0.25">
      <c r="A49" s="44" t="s">
        <v>44</v>
      </c>
      <c r="B49" s="44" t="s">
        <v>14</v>
      </c>
      <c r="C49" s="46">
        <v>107.2</v>
      </c>
      <c r="D49" s="34">
        <v>26725</v>
      </c>
      <c r="E49" s="34">
        <v>26725</v>
      </c>
      <c r="F49" s="33">
        <f>Table132[[#This Row],[New position]]-Table132[[#This Row],[Old position]]</f>
        <v>0</v>
      </c>
      <c r="G49" s="34">
        <f>ROUND(Table132[[#This Row],[Target allocation ($)]]/(IF(G73&gt;0, G55,E55)*C22)*100,3)</f>
        <v>1.528</v>
      </c>
      <c r="H49" s="39">
        <f>Table132[[#This Row],[New position]]*Table132[[#This Row],[Last_Price]]</f>
        <v>2864920</v>
      </c>
      <c r="I49" s="53"/>
      <c r="J49" s="97"/>
      <c r="K49" s="97"/>
      <c r="L49"/>
      <c r="M49"/>
      <c r="N49"/>
      <c r="O49"/>
      <c r="P49"/>
      <c r="Q49"/>
    </row>
    <row r="50" spans="1:17" x14ac:dyDescent="0.25">
      <c r="A50" s="44" t="s">
        <v>52</v>
      </c>
      <c r="B50" s="44" t="s">
        <v>14</v>
      </c>
      <c r="C50" s="46">
        <v>36.21</v>
      </c>
      <c r="D50" s="34">
        <v>78324</v>
      </c>
      <c r="E50" s="34">
        <v>78324</v>
      </c>
      <c r="F50" s="33">
        <f>Table132[[#This Row],[New position]]-Table132[[#This Row],[Old position]]</f>
        <v>0</v>
      </c>
      <c r="G50" s="34">
        <f>ROUND(Table132[[#This Row],[Target allocation ($)]]/(IF(G73&gt;0, G55,E55)*C22)*100,3)</f>
        <v>1.512</v>
      </c>
      <c r="H50" s="39">
        <f>Table132[[#This Row],[New position]]*Table132[[#This Row],[Last_Price]]</f>
        <v>2836112.04</v>
      </c>
      <c r="I50" s="53"/>
      <c r="J50" s="97"/>
      <c r="K50" s="97"/>
      <c r="L50"/>
      <c r="M50"/>
      <c r="N50"/>
      <c r="O50"/>
      <c r="P50"/>
      <c r="Q50"/>
    </row>
    <row r="51" spans="1:17" x14ac:dyDescent="0.25">
      <c r="A51" s="44" t="s">
        <v>73</v>
      </c>
      <c r="B51" s="44" t="s">
        <v>14</v>
      </c>
      <c r="C51" s="46">
        <v>47.27</v>
      </c>
      <c r="D51" s="34">
        <v>21013</v>
      </c>
      <c r="E51" s="34">
        <v>21013</v>
      </c>
      <c r="F51" s="33">
        <f>Table132[[#This Row],[New position]]-Table132[[#This Row],[Old position]]</f>
        <v>0</v>
      </c>
      <c r="G51" s="34">
        <f>ROUND(Table132[[#This Row],[Target allocation ($)]]/(IF(G73&gt;0, G55,E55)*C22)*100,3)</f>
        <v>0.53</v>
      </c>
      <c r="H51" s="39">
        <f>Table132[[#This Row],[New position]]*Table132[[#This Row],[Last_Price]]</f>
        <v>993284.51</v>
      </c>
      <c r="I51" s="53"/>
      <c r="J51" s="97"/>
      <c r="K51" s="97"/>
      <c r="L51"/>
      <c r="M51"/>
      <c r="N51"/>
      <c r="O51"/>
      <c r="P51"/>
      <c r="Q51"/>
    </row>
    <row r="52" spans="1:17" x14ac:dyDescent="0.25">
      <c r="A52" s="44" t="s">
        <v>45</v>
      </c>
      <c r="B52" s="44" t="s">
        <v>14</v>
      </c>
      <c r="C52" s="46">
        <v>188</v>
      </c>
      <c r="D52" s="34">
        <v>38544</v>
      </c>
      <c r="E52" s="34">
        <v>38544</v>
      </c>
      <c r="F52" s="33">
        <f>Table132[[#This Row],[New position]]-Table132[[#This Row],[Old position]]</f>
        <v>0</v>
      </c>
      <c r="G52" s="34">
        <f>ROUND(Table132[[#This Row],[Target allocation ($)]]/(IF(G73&gt;0, G55,E55)*C22)*100,3)</f>
        <v>3.8639999999999999</v>
      </c>
      <c r="H52" s="39">
        <f>Table132[[#This Row],[New position]]*Table132[[#This Row],[Last_Price]]</f>
        <v>7246272</v>
      </c>
      <c r="I52" s="62"/>
      <c r="J52" s="97"/>
      <c r="K52" s="97"/>
      <c r="L52"/>
      <c r="M52"/>
      <c r="N52"/>
      <c r="O52"/>
      <c r="P52"/>
      <c r="Q52"/>
    </row>
    <row r="53" spans="1:17" x14ac:dyDescent="0.25">
      <c r="A53" s="44"/>
      <c r="B53" s="44"/>
      <c r="C53" s="46"/>
      <c r="D53" s="34"/>
      <c r="E53" s="34"/>
      <c r="F53" s="31"/>
      <c r="G53" s="34"/>
      <c r="H53" s="46"/>
      <c r="I53" s="48"/>
      <c r="J53" s="69"/>
      <c r="K53" s="83"/>
      <c r="L53"/>
      <c r="M53"/>
      <c r="N53"/>
      <c r="O53"/>
      <c r="P53"/>
      <c r="Q53"/>
    </row>
    <row r="54" spans="1:17" x14ac:dyDescent="0.25">
      <c r="A54" s="44"/>
      <c r="B54" s="44"/>
      <c r="C54" s="45"/>
      <c r="D54" s="35"/>
      <c r="E54" s="54" t="s">
        <v>42</v>
      </c>
      <c r="F54" s="31"/>
      <c r="G54" s="55" t="s">
        <v>43</v>
      </c>
      <c r="H54" s="46"/>
      <c r="I54" s="48"/>
      <c r="J54" s="69"/>
      <c r="K54" s="83"/>
      <c r="L54"/>
      <c r="M54"/>
      <c r="N54"/>
      <c r="O54"/>
      <c r="P54"/>
      <c r="Q54"/>
    </row>
    <row r="55" spans="1:17" ht="30" x14ac:dyDescent="0.25">
      <c r="A55" s="44" t="s">
        <v>30</v>
      </c>
      <c r="B55" s="44"/>
      <c r="C55" s="45"/>
      <c r="D55" s="35"/>
      <c r="E55" s="34">
        <f xml:space="preserve"> IF(G73&gt;0, (C23+ABS(G73*G55))/C19, C23/C19)</f>
        <v>4.0199125215078526</v>
      </c>
      <c r="F55" s="31"/>
      <c r="G55" s="34">
        <v>4</v>
      </c>
      <c r="H55" s="46"/>
      <c r="I55" s="48"/>
      <c r="J55" s="101" t="s">
        <v>84</v>
      </c>
      <c r="K55" s="82" t="s">
        <v>85</v>
      </c>
      <c r="L55"/>
      <c r="M55"/>
      <c r="N55"/>
      <c r="O55"/>
      <c r="P55"/>
      <c r="Q55"/>
    </row>
    <row r="56" spans="1:17" ht="15" customHeight="1" x14ac:dyDescent="0.25">
      <c r="A56" s="34" t="s">
        <v>34</v>
      </c>
      <c r="B56" s="34"/>
      <c r="C56" s="34"/>
      <c r="D56" s="47" t="str">
        <f>Table132[[#This Row],[Symbol]]</f>
        <v>SingleStocks</v>
      </c>
      <c r="E56" s="34">
        <f>ROUND(SUM(0)/100, 3)</f>
        <v>0</v>
      </c>
      <c r="F56" s="47" t="str">
        <f>Table132[[#This Row],[Symbol]]</f>
        <v>SingleStocks</v>
      </c>
      <c r="G56" s="34">
        <f>SUM(0)/(G55*C22)</f>
        <v>0</v>
      </c>
      <c r="H56" s="34"/>
      <c r="I56" s="27"/>
      <c r="J56" s="68" t="s">
        <v>86</v>
      </c>
      <c r="K56" s="104">
        <f>1-SUM(K57:K58)</f>
        <v>0.31733039436986288</v>
      </c>
      <c r="L56"/>
      <c r="M56"/>
      <c r="N56"/>
      <c r="O56"/>
      <c r="P56"/>
      <c r="Q56"/>
    </row>
    <row r="57" spans="1:17" ht="15" customHeight="1" x14ac:dyDescent="0.25">
      <c r="A57" s="44" t="s">
        <v>64</v>
      </c>
      <c r="B57" s="44"/>
      <c r="C57" s="45"/>
      <c r="D57" s="47" t="str">
        <f>Table132[[#This Row],[Symbol]]</f>
        <v>Healthcare</v>
      </c>
      <c r="E57" s="34">
        <f>ROUND(SUM(G26:G27)/100, 3)</f>
        <v>3.5999999999999997E-2</v>
      </c>
      <c r="F57" s="47" t="str">
        <f>Table132[[#This Row],[Symbol]]</f>
        <v>Healthcare</v>
      </c>
      <c r="G57" s="51">
        <f>SUM(H26:H27)/(G55*C22)</f>
        <v>3.6096433975436125E-2</v>
      </c>
      <c r="H57" s="46"/>
      <c r="I57" s="27"/>
      <c r="J57" s="68" t="s">
        <v>87</v>
      </c>
      <c r="K57" s="102">
        <f>SUM(H29:H41)/C23</f>
        <v>0.59587298904809627</v>
      </c>
      <c r="L57"/>
      <c r="M57"/>
      <c r="N57"/>
      <c r="O57"/>
      <c r="P57"/>
      <c r="Q57"/>
    </row>
    <row r="58" spans="1:17" ht="15" customHeight="1" x14ac:dyDescent="0.25">
      <c r="A58" s="44" t="s">
        <v>54</v>
      </c>
      <c r="B58" s="44"/>
      <c r="C58" s="45"/>
      <c r="D58" s="47" t="str">
        <f>Table132[[#This Row],[Symbol]]</f>
        <v>Semiconductor</v>
      </c>
      <c r="E58" s="34">
        <f>ROUND(SUM(G28:G29)/100, 3)</f>
        <v>0.10100000000000001</v>
      </c>
      <c r="F58" s="47" t="str">
        <f>Table132[[#This Row],[Symbol]]</f>
        <v>Semiconductor</v>
      </c>
      <c r="G58" s="51">
        <f>SUM(H28:H29)/(G55*C22)</f>
        <v>0.1010282646095976</v>
      </c>
      <c r="H58" s="46"/>
      <c r="I58" s="52"/>
      <c r="J58" s="68" t="s">
        <v>88</v>
      </c>
      <c r="K58" s="103">
        <f>H52/C23</f>
        <v>8.6796616582040853E-2</v>
      </c>
      <c r="L58"/>
      <c r="M58"/>
      <c r="N58"/>
      <c r="O58"/>
      <c r="P58"/>
      <c r="Q58"/>
    </row>
    <row r="59" spans="1:17" ht="15.75" customHeight="1" x14ac:dyDescent="0.25">
      <c r="A59" s="44" t="s">
        <v>55</v>
      </c>
      <c r="B59" s="44"/>
      <c r="C59" s="45"/>
      <c r="D59" s="47" t="str">
        <f>Table132[[#This Row],[Symbol]]</f>
        <v>Small Cap</v>
      </c>
      <c r="E59" s="51">
        <f>ROUND(SUM(0)/100, 3)</f>
        <v>0</v>
      </c>
      <c r="F59" s="47" t="str">
        <f>Table132[[#This Row],[Symbol]]</f>
        <v>Small Cap</v>
      </c>
      <c r="G59" s="51">
        <f>SUM(0)/(G55*C22)</f>
        <v>0</v>
      </c>
      <c r="H59" s="46"/>
      <c r="I59" s="52"/>
      <c r="J59" s="70"/>
      <c r="K59" s="84"/>
      <c r="L59"/>
      <c r="M59"/>
      <c r="N59"/>
      <c r="O59"/>
      <c r="P59"/>
      <c r="Q59"/>
    </row>
    <row r="60" spans="1:17" ht="15.75" customHeight="1" x14ac:dyDescent="0.25">
      <c r="A60" s="44" t="s">
        <v>47</v>
      </c>
      <c r="B60" s="44"/>
      <c r="C60" s="45"/>
      <c r="D60" s="47" t="str">
        <f>Table132[[#This Row],[Symbol]]</f>
        <v>S&amp;P</v>
      </c>
      <c r="E60" s="34">
        <f>ROUND(0/100, 3)</f>
        <v>0</v>
      </c>
      <c r="F60" s="47" t="str">
        <f>Table132[[#This Row],[Symbol]]</f>
        <v>S&amp;P</v>
      </c>
      <c r="G60" s="34">
        <f>SUM(0)/(G55*C22)</f>
        <v>0</v>
      </c>
      <c r="H60" s="46"/>
      <c r="I60" s="52"/>
      <c r="J60" s="70"/>
      <c r="K60" s="84"/>
      <c r="L60"/>
      <c r="M60"/>
      <c r="N60"/>
      <c r="O60"/>
      <c r="P60"/>
      <c r="Q60"/>
    </row>
    <row r="61" spans="1:17" ht="15.75" customHeight="1" x14ac:dyDescent="0.25">
      <c r="A61" s="44" t="s">
        <v>48</v>
      </c>
      <c r="B61" s="44"/>
      <c r="C61" s="45"/>
      <c r="D61" s="47" t="str">
        <f>Table132[[#This Row],[Symbol]]</f>
        <v>Dow Jones</v>
      </c>
      <c r="E61" s="34">
        <f>ROUND(0/100, 3)</f>
        <v>0</v>
      </c>
      <c r="F61" s="47" t="str">
        <f>Table132[[#This Row],[Symbol]]</f>
        <v>Dow Jones</v>
      </c>
      <c r="G61" s="51">
        <f>SUM(0)/(G55*C22)</f>
        <v>0</v>
      </c>
      <c r="H61" s="46"/>
      <c r="I61" s="52"/>
      <c r="J61" s="70"/>
      <c r="K61" s="84"/>
      <c r="L61"/>
      <c r="M61"/>
      <c r="N61"/>
      <c r="O61"/>
      <c r="P61"/>
      <c r="Q61"/>
    </row>
    <row r="62" spans="1:17" ht="14.25" customHeight="1" x14ac:dyDescent="0.25">
      <c r="A62" s="44" t="s">
        <v>53</v>
      </c>
      <c r="B62" s="44"/>
      <c r="C62" s="45"/>
      <c r="D62" s="47" t="str">
        <f>Table132[[#This Row],[Symbol]]</f>
        <v>Int Stocks</v>
      </c>
      <c r="E62" s="34">
        <f>ROUND(SUM(G30:G38)/100, 3)</f>
        <v>8.1000000000000003E-2</v>
      </c>
      <c r="F62" s="47" t="str">
        <f>Table132[[#This Row],[Symbol]]</f>
        <v>Int Stocks</v>
      </c>
      <c r="G62" s="34">
        <f>SUM(H30:H38)/(G55*C22)</f>
        <v>8.0833876805350119E-2</v>
      </c>
      <c r="H62" s="46"/>
      <c r="I62" s="52"/>
      <c r="J62" s="70"/>
      <c r="K62" s="84"/>
      <c r="L62"/>
      <c r="M62"/>
      <c r="N62"/>
      <c r="O62"/>
      <c r="P62"/>
      <c r="Q62"/>
    </row>
    <row r="63" spans="1:17" ht="14.25" customHeight="1" x14ac:dyDescent="0.25">
      <c r="A63" s="44" t="s">
        <v>71</v>
      </c>
      <c r="B63" s="44"/>
      <c r="C63" s="45"/>
      <c r="D63" s="47" t="str">
        <f>Table132[[#This Row],[Symbol]]</f>
        <v>JP Stocks</v>
      </c>
      <c r="E63" s="34">
        <f>ROUND(SUM(G39:G41)/100, 3)</f>
        <v>9.2999999999999999E-2</v>
      </c>
      <c r="F63" s="47" t="str">
        <f>Table132[[#This Row],[Symbol]]</f>
        <v>JP Stocks</v>
      </c>
      <c r="G63" s="51">
        <f>SUM(H39:H41)/(G55*C22)</f>
        <v>9.325400712005269E-2</v>
      </c>
      <c r="H63" s="46"/>
      <c r="I63" s="63"/>
      <c r="J63" s="72"/>
      <c r="K63" s="86"/>
      <c r="L63"/>
      <c r="M63"/>
      <c r="N63"/>
      <c r="O63"/>
      <c r="P63"/>
      <c r="Q63"/>
    </row>
    <row r="64" spans="1:17" ht="15.75" customHeight="1" x14ac:dyDescent="0.25">
      <c r="A64" s="44" t="s">
        <v>80</v>
      </c>
      <c r="B64" s="44"/>
      <c r="C64" s="45"/>
      <c r="D64" s="47" t="str">
        <f>Table132[[#This Row],[Symbol]]</f>
        <v>Nasdaq</v>
      </c>
      <c r="E64" s="51">
        <f>ROUND(SUM(G42)/100, 3)</f>
        <v>0.01</v>
      </c>
      <c r="F64" s="47" t="str">
        <f>Table132[[#This Row],[Symbol]]</f>
        <v>Nasdaq</v>
      </c>
      <c r="G64" s="51">
        <f>SUM(H42)/(G55*C22)</f>
        <v>1.000068525217024E-2</v>
      </c>
      <c r="H64" s="46"/>
      <c r="I64" s="27"/>
      <c r="J64" s="68"/>
      <c r="K64" s="82"/>
      <c r="L64"/>
      <c r="M64"/>
      <c r="N64"/>
      <c r="O64"/>
      <c r="P64"/>
      <c r="Q64"/>
    </row>
    <row r="65" spans="1:17" ht="15.75" customHeight="1" x14ac:dyDescent="0.25">
      <c r="A65" s="58" t="s">
        <v>56</v>
      </c>
      <c r="B65" s="44"/>
      <c r="C65" s="45"/>
      <c r="D65" s="47" t="str">
        <f>Table132[[#This Row],[Symbol]]</f>
        <v>Regional Bank</v>
      </c>
      <c r="E65" s="51">
        <f>ROUND(SUM(0)/100, 3)</f>
        <v>0</v>
      </c>
      <c r="F65" s="47" t="str">
        <f>Table132[[#This Row],[Symbol]]</f>
        <v>Regional Bank</v>
      </c>
      <c r="G65" s="51">
        <f>SUM(0)/(G55*C22)</f>
        <v>0</v>
      </c>
      <c r="H65" s="46"/>
      <c r="I65" s="27"/>
      <c r="J65" s="68"/>
      <c r="K65" s="82"/>
      <c r="L65"/>
      <c r="M65"/>
      <c r="N65"/>
      <c r="O65"/>
      <c r="P65"/>
      <c r="Q65"/>
    </row>
    <row r="66" spans="1:17" ht="15.75" customHeight="1" x14ac:dyDescent="0.25">
      <c r="A66" s="44" t="s">
        <v>61</v>
      </c>
      <c r="B66" s="44"/>
      <c r="C66" s="45"/>
      <c r="D66" s="47" t="str">
        <f>Table132[[#This Row],[Symbol]]</f>
        <v>Short</v>
      </c>
      <c r="E66" s="34">
        <f>ROUND(SUM(0)/100, 3)</f>
        <v>0</v>
      </c>
      <c r="F66" s="47" t="str">
        <f>Table132[[#This Row],[Symbol]]</f>
        <v>Short</v>
      </c>
      <c r="G66" s="51">
        <f>SUM(0)/(G55*C22)</f>
        <v>0</v>
      </c>
      <c r="H66" s="46"/>
      <c r="I66" s="59"/>
      <c r="J66" s="71"/>
      <c r="K66" s="85"/>
      <c r="L66"/>
      <c r="M66"/>
      <c r="N66"/>
      <c r="O66"/>
      <c r="P66"/>
      <c r="Q66"/>
    </row>
    <row r="67" spans="1:17" ht="14.25" customHeight="1" x14ac:dyDescent="0.25">
      <c r="A67" s="34" t="s">
        <v>27</v>
      </c>
      <c r="B67" s="44"/>
      <c r="C67" s="45"/>
      <c r="D67" s="47" t="str">
        <f>Table132[[#This Row],[Symbol]]</f>
        <v>Bonds</v>
      </c>
      <c r="E67" s="34">
        <f>ROUND((SUM(G46:G51))/100, 3)</f>
        <v>0.08</v>
      </c>
      <c r="F67" s="47" t="str">
        <f>Table132[[#This Row],[Symbol]]</f>
        <v>Bonds</v>
      </c>
      <c r="G67" s="51">
        <f>(SUM(H46:H51))/(G55*C22)</f>
        <v>8.0370466467630325E-2</v>
      </c>
      <c r="H67" s="46"/>
      <c r="I67" s="27"/>
      <c r="J67" s="68"/>
      <c r="K67" s="82"/>
      <c r="L67"/>
      <c r="M67"/>
      <c r="N67"/>
      <c r="O67"/>
      <c r="P67"/>
      <c r="Q67"/>
    </row>
    <row r="68" spans="1:17" ht="14.25" customHeight="1" x14ac:dyDescent="0.25">
      <c r="A68" s="44" t="s">
        <v>66</v>
      </c>
      <c r="B68" s="44"/>
      <c r="C68" s="45"/>
      <c r="D68" s="47" t="str">
        <f>Table132[[#This Row],[Symbol]]</f>
        <v>Core</v>
      </c>
      <c r="E68" s="34">
        <f>ROUND((SUM(0))/100, 3)</f>
        <v>0</v>
      </c>
      <c r="F68" s="47" t="str">
        <f>Table132[[#This Row],[Symbol]]</f>
        <v>Core</v>
      </c>
      <c r="G68" s="34">
        <f>(SUM(0))/(G55*C22)</f>
        <v>0</v>
      </c>
      <c r="H68" s="46"/>
      <c r="I68" s="60"/>
      <c r="J68" s="73"/>
      <c r="K68" s="87"/>
      <c r="L68"/>
      <c r="M68"/>
      <c r="N68"/>
      <c r="O68"/>
      <c r="P68"/>
      <c r="Q68"/>
    </row>
    <row r="69" spans="1:17" ht="14.25" customHeight="1" x14ac:dyDescent="0.25">
      <c r="A69" s="44" t="s">
        <v>36</v>
      </c>
      <c r="B69" s="34"/>
      <c r="C69" s="34"/>
      <c r="D69" s="47" t="str">
        <f>Table132[[#This Row],[Symbol]]</f>
        <v>Gold</v>
      </c>
      <c r="E69" s="34">
        <f>ROUND(SUM(G52)/100,3)</f>
        <v>3.9E-2</v>
      </c>
      <c r="F69" s="47" t="str">
        <f>Table132[[#This Row],[Symbol]]</f>
        <v>Gold</v>
      </c>
      <c r="G69" s="51">
        <f>SUM(H52)/(G55*C22)</f>
        <v>3.864220711394354E-2</v>
      </c>
      <c r="H69" s="34"/>
      <c r="I69" s="28"/>
      <c r="J69" s="74"/>
      <c r="K69" s="81"/>
      <c r="L69"/>
      <c r="M69"/>
      <c r="N69"/>
      <c r="O69"/>
      <c r="P69"/>
      <c r="Q69"/>
    </row>
    <row r="70" spans="1:17" ht="15" customHeight="1" x14ac:dyDescent="0.25">
      <c r="A70" s="34" t="s">
        <v>28</v>
      </c>
      <c r="B70" s="34"/>
      <c r="C70" s="34"/>
      <c r="D70" s="47" t="str">
        <f>Table132[[#This Row],[Symbol]]</f>
        <v>Commodities</v>
      </c>
      <c r="E70" s="34">
        <f>ROUND(SUM(0)/100,3)</f>
        <v>0</v>
      </c>
      <c r="F70" s="47" t="str">
        <f>Table132[[#This Row],[Symbol]]</f>
        <v>Commodities</v>
      </c>
      <c r="G70" s="34">
        <f>SUM(0)/(G55*C22)</f>
        <v>0</v>
      </c>
      <c r="H70" s="34"/>
      <c r="I70" s="29"/>
      <c r="J70" s="75"/>
      <c r="K70" s="88"/>
      <c r="L70"/>
      <c r="M70"/>
      <c r="N70"/>
      <c r="O70"/>
      <c r="P70"/>
      <c r="Q70"/>
    </row>
    <row r="71" spans="1:17" ht="14.25" customHeight="1" x14ac:dyDescent="0.25">
      <c r="A71" s="44" t="s">
        <v>35</v>
      </c>
      <c r="B71" s="44"/>
      <c r="C71" s="45"/>
      <c r="D71" s="47" t="str">
        <f>Table132[[#This Row],[Symbol]]</f>
        <v>Crypto</v>
      </c>
      <c r="E71" s="51">
        <f>ROUND(SUM(0)/100,3)</f>
        <v>0</v>
      </c>
      <c r="F71" s="47" t="str">
        <f>Table132[[#This Row],[Symbol]]</f>
        <v>Crypto</v>
      </c>
      <c r="G71" s="51">
        <f>SUM(0)/(G55*C22)</f>
        <v>0</v>
      </c>
      <c r="H71" s="46"/>
      <c r="I71" s="50"/>
      <c r="J71" s="76"/>
      <c r="K71" s="89"/>
      <c r="L71"/>
      <c r="M71"/>
      <c r="N71"/>
      <c r="O71"/>
      <c r="P71"/>
      <c r="Q71"/>
    </row>
    <row r="72" spans="1:17" ht="14.25" customHeight="1" x14ac:dyDescent="0.25">
      <c r="A72" s="34" t="s">
        <v>23</v>
      </c>
      <c r="B72" s="34"/>
      <c r="C72" s="34"/>
      <c r="D72" s="47" t="str">
        <f>Table132[[#This Row],[Symbol]]</f>
        <v>Cash</v>
      </c>
      <c r="E72" s="34">
        <f>1-SUM(E56:E71)</f>
        <v>0.55999999999999994</v>
      </c>
      <c r="F72" s="47" t="str">
        <f>Table132[[#This Row],[Symbol]]</f>
        <v>Cash</v>
      </c>
      <c r="G72" s="34">
        <f>1-SUM(G56:G71)</f>
        <v>0.55977405865581931</v>
      </c>
      <c r="H72" s="34"/>
      <c r="I72" s="27"/>
      <c r="J72" s="68"/>
      <c r="K72" s="82"/>
      <c r="L72"/>
      <c r="M72"/>
      <c r="N72"/>
      <c r="O72"/>
      <c r="P72"/>
      <c r="Q72"/>
    </row>
    <row r="73" spans="1:17" x14ac:dyDescent="0.25">
      <c r="A73" s="25" t="s">
        <v>29</v>
      </c>
      <c r="B73" s="25"/>
      <c r="C73" s="32"/>
      <c r="D73" s="31"/>
      <c r="E73" s="25">
        <f>C22*E72</f>
        <v>26253109.119999997</v>
      </c>
      <c r="F73" s="31"/>
      <c r="G73" s="34">
        <f>C22*G72</f>
        <v>26242516.865065187</v>
      </c>
      <c r="H73" s="39"/>
      <c r="I73" s="30"/>
      <c r="J73" s="77"/>
      <c r="K73" s="90"/>
      <c r="L73"/>
      <c r="M73"/>
      <c r="N73"/>
      <c r="O73"/>
      <c r="P73"/>
      <c r="Q73"/>
    </row>
    <row r="74" spans="1:17" x14ac:dyDescent="0.25">
      <c r="A74" s="25"/>
      <c r="B74" s="25"/>
      <c r="C74" s="32"/>
      <c r="D74" s="25"/>
      <c r="E74" s="25"/>
      <c r="F74" s="25"/>
      <c r="G74" s="34"/>
      <c r="H74" s="39"/>
      <c r="I74" s="27"/>
      <c r="J74" s="68"/>
      <c r="K74" s="82"/>
      <c r="L74"/>
      <c r="M74"/>
      <c r="N74"/>
      <c r="O74"/>
      <c r="P74"/>
      <c r="Q74"/>
    </row>
    <row r="75" spans="1:17" x14ac:dyDescent="0.25">
      <c r="A75" s="25"/>
      <c r="B75" s="25"/>
      <c r="C75" s="32"/>
      <c r="D75" s="25"/>
      <c r="E75" s="25"/>
      <c r="F75" s="31"/>
      <c r="G75" s="34"/>
      <c r="H75" s="39"/>
      <c r="I75" s="27"/>
      <c r="J75" s="68"/>
      <c r="K75" s="82"/>
      <c r="L75"/>
      <c r="M75"/>
      <c r="N75"/>
      <c r="O75"/>
      <c r="P75"/>
      <c r="Q75"/>
    </row>
    <row r="76" spans="1:17" x14ac:dyDescent="0.25">
      <c r="A76" s="25"/>
      <c r="B76" s="25"/>
      <c r="C76" s="32"/>
      <c r="D76" s="25"/>
      <c r="E76" s="25"/>
      <c r="F76" s="31"/>
      <c r="G76" s="34"/>
      <c r="H76" s="39"/>
      <c r="I76" s="27"/>
      <c r="J76" s="68"/>
      <c r="K76" s="82"/>
      <c r="L76"/>
      <c r="M76"/>
      <c r="N76"/>
      <c r="O76"/>
      <c r="P76"/>
      <c r="Q76"/>
    </row>
    <row r="77" spans="1:17" x14ac:dyDescent="0.25">
      <c r="A77" s="20"/>
      <c r="B77" s="5" t="s">
        <v>21</v>
      </c>
      <c r="D77" s="1"/>
      <c r="E77" s="5" t="s">
        <v>20</v>
      </c>
      <c r="F77" s="1"/>
      <c r="G77" s="5"/>
      <c r="H77" s="40" t="s">
        <v>2</v>
      </c>
      <c r="I77" s="4"/>
      <c r="J77" s="78"/>
      <c r="K77" s="91"/>
      <c r="L77"/>
      <c r="M77"/>
      <c r="N77"/>
      <c r="O77"/>
      <c r="P77"/>
      <c r="Q77"/>
    </row>
    <row r="78" spans="1:17" x14ac:dyDescent="0.25">
      <c r="B78" s="5" t="s">
        <v>24</v>
      </c>
      <c r="D78" s="1"/>
      <c r="E78" s="5" t="s">
        <v>24</v>
      </c>
      <c r="F78" s="1"/>
      <c r="G78" s="5"/>
      <c r="H78" s="40" t="s">
        <v>3</v>
      </c>
      <c r="L78"/>
      <c r="M78"/>
      <c r="N78"/>
      <c r="O78"/>
      <c r="P78"/>
      <c r="Q78"/>
    </row>
    <row r="79" spans="1:17" x14ac:dyDescent="0.25">
      <c r="B79" s="3"/>
      <c r="C79"/>
      <c r="D79" s="1"/>
      <c r="E79" s="3"/>
      <c r="F79" s="19"/>
      <c r="G79" s="3"/>
      <c r="H79" s="41"/>
      <c r="L79"/>
      <c r="M79"/>
      <c r="N79"/>
      <c r="O79"/>
      <c r="P79"/>
      <c r="Q79"/>
    </row>
    <row r="80" spans="1:17" x14ac:dyDescent="0.25">
      <c r="C80"/>
      <c r="L80"/>
      <c r="M80"/>
      <c r="N80"/>
      <c r="O80"/>
      <c r="P80"/>
      <c r="Q80"/>
    </row>
    <row r="81" spans="12:17" x14ac:dyDescent="0.25">
      <c r="L81"/>
      <c r="M81"/>
      <c r="N81"/>
      <c r="O81"/>
      <c r="P81"/>
      <c r="Q81"/>
    </row>
    <row r="82" spans="12:17" x14ac:dyDescent="0.25">
      <c r="L82"/>
      <c r="M82"/>
      <c r="N82"/>
      <c r="O82"/>
      <c r="P82"/>
      <c r="Q82"/>
    </row>
    <row r="83" spans="12:17" x14ac:dyDescent="0.25">
      <c r="L83"/>
      <c r="M83"/>
      <c r="N83"/>
      <c r="O83"/>
      <c r="P83"/>
      <c r="Q83"/>
    </row>
    <row r="84" spans="12:17" x14ac:dyDescent="0.25">
      <c r="L84"/>
      <c r="M84"/>
      <c r="N84"/>
      <c r="O84"/>
      <c r="P84"/>
      <c r="Q84"/>
    </row>
  </sheetData>
  <mergeCells count="16">
    <mergeCell ref="A22:B22"/>
    <mergeCell ref="A23:B23"/>
    <mergeCell ref="A1:B1"/>
    <mergeCell ref="A2:B2"/>
    <mergeCell ref="A17:B17"/>
    <mergeCell ref="A19:B19"/>
    <mergeCell ref="A20:B20"/>
    <mergeCell ref="A21:B21"/>
    <mergeCell ref="A3:B3"/>
    <mergeCell ref="A15:B15"/>
    <mergeCell ref="A14:B14"/>
    <mergeCell ref="A18:B18"/>
    <mergeCell ref="A11:B11"/>
    <mergeCell ref="A6:B6"/>
    <mergeCell ref="A9:B9"/>
    <mergeCell ref="A10:B10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2024-03-01T08:12:56Z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