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3-2024/"/>
    </mc:Choice>
  </mc:AlternateContent>
  <xr:revisionPtr revIDLastSave="3995" documentId="14_{A48F4B07-3EF3-43E5-91B2-4CA340E6013A}" xr6:coauthVersionLast="47" xr6:coauthVersionMax="47" xr10:uidLastSave="{010F120F-EF2F-44A3-AEE8-59C7F171816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3" l="1"/>
  <c r="H30" i="3"/>
  <c r="H31" i="3"/>
  <c r="F29" i="3"/>
  <c r="F30" i="3"/>
  <c r="F31" i="3"/>
  <c r="F45" i="3"/>
  <c r="H45" i="3"/>
  <c r="E66" i="3" l="1"/>
  <c r="E71" i="3" l="1"/>
  <c r="F44" i="3"/>
  <c r="H44" i="3" l="1"/>
  <c r="E68" i="3"/>
  <c r="E65" i="3"/>
  <c r="H26" i="3"/>
  <c r="F26" i="3"/>
  <c r="E56" i="3"/>
  <c r="H27" i="3"/>
  <c r="F27" i="3"/>
  <c r="F38" i="3" l="1"/>
  <c r="H38" i="3"/>
  <c r="E61" i="3" l="1"/>
  <c r="E60" i="3"/>
  <c r="F42" i="3"/>
  <c r="F63" i="3" l="1"/>
  <c r="D63" i="3"/>
  <c r="F52" i="3" l="1"/>
  <c r="H52" i="3"/>
  <c r="H42" i="3" l="1"/>
  <c r="H41" i="3"/>
  <c r="F41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7" i="3"/>
  <c r="F37" i="3"/>
  <c r="F39" i="3"/>
  <c r="F40" i="3"/>
  <c r="H39" i="3"/>
  <c r="H40" i="3"/>
  <c r="F36" i="3" l="1"/>
  <c r="H36" i="3"/>
  <c r="F66" i="3"/>
  <c r="D56" i="3" l="1"/>
  <c r="F62" i="3"/>
  <c r="F60" i="3"/>
  <c r="F59" i="3"/>
  <c r="F58" i="3"/>
  <c r="F56" i="3"/>
  <c r="F65" i="3"/>
  <c r="F61" i="3" l="1"/>
  <c r="F64" i="3"/>
  <c r="F67" i="3"/>
  <c r="F69" i="3"/>
  <c r="F70" i="3"/>
  <c r="F71" i="3"/>
  <c r="F72" i="3"/>
  <c r="H48" i="3" l="1"/>
  <c r="H47" i="3" l="1"/>
  <c r="H49" i="3"/>
  <c r="H50" i="3"/>
  <c r="H51" i="3"/>
  <c r="F47" i="3"/>
  <c r="F48" i="3"/>
  <c r="F49" i="3"/>
  <c r="F50" i="3"/>
  <c r="F51" i="3"/>
  <c r="F32" i="3" l="1"/>
  <c r="F33" i="3"/>
  <c r="F34" i="3"/>
  <c r="F43" i="3"/>
  <c r="F46" i="3"/>
  <c r="H46" i="3"/>
  <c r="H32" i="3" l="1"/>
  <c r="H33" i="3"/>
  <c r="H43" i="3" l="1"/>
  <c r="H28" i="3"/>
  <c r="H35" i="3" l="1"/>
  <c r="H34" i="3"/>
  <c r="C23" i="3" l="1" a="1"/>
  <c r="C23" i="3" s="1"/>
  <c r="K58" i="3" l="1"/>
  <c r="K57" i="3"/>
  <c r="F35" i="3"/>
  <c r="K56" i="3" l="1"/>
  <c r="F28" i="3"/>
  <c r="C22" i="3"/>
  <c r="C6" i="3" l="1"/>
  <c r="G59" i="3"/>
  <c r="G70" i="3"/>
  <c r="G67" i="3"/>
  <c r="C14" i="3"/>
  <c r="G66" i="3"/>
  <c r="C13" i="3"/>
  <c r="C17" i="3"/>
  <c r="G71" i="3"/>
  <c r="G64" i="3"/>
  <c r="C11" i="3"/>
  <c r="C16" i="3"/>
  <c r="G68" i="3"/>
  <c r="G65" i="3"/>
  <c r="C12" i="3"/>
  <c r="G56" i="3"/>
  <c r="C3" i="3"/>
  <c r="C9" i="3"/>
  <c r="C5" i="3"/>
  <c r="G58" i="3"/>
  <c r="C10" i="3"/>
  <c r="C18" i="3"/>
  <c r="C15" i="3"/>
  <c r="G69" i="3"/>
  <c r="C7" i="3"/>
  <c r="G60" i="3"/>
  <c r="C8" i="3"/>
  <c r="G61" i="3"/>
  <c r="G63" i="3"/>
  <c r="G62" i="3"/>
  <c r="C4" i="3"/>
  <c r="G57" i="3"/>
  <c r="C2" i="3"/>
  <c r="G72" i="3" l="1"/>
  <c r="G73" i="3" s="1"/>
  <c r="E55" i="3" l="1"/>
  <c r="G31" i="3"/>
  <c r="G28" i="3"/>
  <c r="G29" i="3"/>
  <c r="G30" i="3"/>
  <c r="G45" i="3"/>
  <c r="E70" i="3" s="1"/>
  <c r="G44" i="3"/>
  <c r="E64" i="3" s="1"/>
  <c r="G43" i="3"/>
  <c r="G26" i="3"/>
  <c r="G27" i="3"/>
  <c r="G41" i="3"/>
  <c r="G42" i="3"/>
  <c r="G46" i="3"/>
  <c r="G32" i="3"/>
  <c r="G50" i="3"/>
  <c r="G36" i="3"/>
  <c r="G48" i="3"/>
  <c r="G33" i="3"/>
  <c r="G49" i="3"/>
  <c r="G47" i="3"/>
  <c r="G39" i="3"/>
  <c r="E59" i="3" l="1"/>
  <c r="E57" i="3"/>
  <c r="G35" i="3"/>
  <c r="G52" i="3"/>
  <c r="E69" i="3" s="1"/>
  <c r="G51" i="3"/>
  <c r="E67" i="3" s="1"/>
  <c r="G34" i="3"/>
  <c r="E58" i="3"/>
  <c r="G38" i="3"/>
  <c r="G40" i="3"/>
  <c r="G37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<sst xmlns="http://schemas.openxmlformats.org/spreadsheetml/2006/main" count="121" uniqueCount="90">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</sst>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2.1000000000000001E-2</c:v>
                </c:pt>
                <c:pt idx="2">
                  <c:v>0.18099999999999999</c:v>
                </c:pt>
                <c:pt idx="3">
                  <c:v>1.0999999999999999E-2</c:v>
                </c:pt>
                <c:pt idx="4">
                  <c:v>0</c:v>
                </c:pt>
                <c:pt idx="5">
                  <c:v>0</c:v>
                </c:pt>
                <c:pt idx="6">
                  <c:v>8.7999999999999995E-2</c:v>
                </c:pt>
                <c:pt idx="7">
                  <c:v>0.113</c:v>
                </c:pt>
                <c:pt idx="8">
                  <c:v>7.0000000000000007E-2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0.39100000000000001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Sheet1!$J$56:$J$58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Sheet1!$K$56:$K$58</c:f>
              <c:numCache>
                <c:formatCode>0%</c:formatCode>
                <c:ptCount val="3"/>
                <c:pt idx="0">
                  <c:v>0.41673227889647668</c:v>
                </c:pt>
                <c:pt idx="1">
                  <c:v>0.51141438862610433</c:v>
                </c:pt>
                <c:pt idx="2">
                  <c:v>7.1853332477418957E-2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20" zoomScaleNormal="120" workbookViewId="0">
      <selection activeCell="I32" sqref="I3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45352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C23/C22</f>
        <v>2.4384870608289906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38</v>
      </c>
      <c r="B3" s="110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61</v>
      </c>
      <c r="B4" s="57"/>
      <c r="C4" s="15">
        <f>SUM(H26:H26)/C22</f>
        <v>8.3626167714209096E-2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50</v>
      </c>
      <c r="B5" s="57"/>
      <c r="C5" s="15">
        <f>SUM(H27:H28)/C22</f>
        <v>0.72414350023164253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9" t="s">
        <v>89</v>
      </c>
      <c r="B6" s="110"/>
      <c r="C6" s="15">
        <f>SUM(H29:H31)/C22</f>
        <v>4.5052017891338378E-2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49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9" t="s">
        <v>40</v>
      </c>
      <c r="B9" s="110"/>
      <c r="C9" s="15">
        <f>SUM(H32:H40)/C22</f>
        <v>0.35235788321520944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9" t="s">
        <v>70</v>
      </c>
      <c r="B10" s="110"/>
      <c r="C10" s="15">
        <f>SUM(H41:H43)/C22</f>
        <v>0.45384488808118267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9" t="s">
        <v>79</v>
      </c>
      <c r="B11" s="110"/>
      <c r="C11" s="15">
        <f>SUM(H44)/C22</f>
        <v>0.28016440529786812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56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63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9" t="s">
        <v>26</v>
      </c>
      <c r="B14" s="110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9" t="s">
        <v>25</v>
      </c>
      <c r="B15" s="110"/>
      <c r="C15" s="15">
        <f>SUM(H46:H51)/C22</f>
        <v>0.32408477687391085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65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8" t="s">
        <v>37</v>
      </c>
      <c r="B17" s="108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9" t="s">
        <v>39</v>
      </c>
      <c r="B18" s="110"/>
      <c r="C18" s="15">
        <f>SUM(H52)/C22</f>
        <v>0.15614658941282716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7" t="s">
        <v>8</v>
      </c>
      <c r="B19" s="107"/>
      <c r="C19" s="18">
        <v>46757374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7" t="s">
        <v>6</v>
      </c>
      <c r="B20" s="107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7" t="s">
        <v>7</v>
      </c>
      <c r="B21" s="107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9</v>
      </c>
      <c r="B22" s="107"/>
      <c r="C22" s="18">
        <f>C19+C20-C21</f>
        <v>46757374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8" t="s">
        <v>5</v>
      </c>
      <c r="B23" s="108"/>
      <c r="C23" s="11">
        <f t="array" ref="C23">SUM(ABS(Table132[Target allocation ($)]))</f>
        <v>114017251.49734187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73</v>
      </c>
      <c r="K25" s="93" t="s">
        <v>74</v>
      </c>
    </row>
    <row r="26" spans="1:17" x14ac:dyDescent="0.25">
      <c r="A26" s="44" t="s">
        <v>76</v>
      </c>
      <c r="B26" s="34" t="s">
        <v>14</v>
      </c>
      <c r="C26" s="94">
        <v>144.82</v>
      </c>
      <c r="D26" s="34">
        <v>27000</v>
      </c>
      <c r="E26" s="34">
        <v>27000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2.0910000000000002</v>
      </c>
      <c r="H26" s="39">
        <f>Table132[[#This Row],[New position]]*Table132[[#This Row],[Last_Price]]</f>
        <v>3910140</v>
      </c>
      <c r="I26" s="98"/>
      <c r="J26" s="95"/>
      <c r="K26" s="95"/>
      <c r="L26"/>
      <c r="M26"/>
      <c r="N26"/>
      <c r="O26"/>
      <c r="P26"/>
      <c r="Q26"/>
    </row>
    <row r="27" spans="1:17" x14ac:dyDescent="0.25">
      <c r="A27" s="44" t="s">
        <v>75</v>
      </c>
      <c r="B27" s="44" t="s">
        <v>14</v>
      </c>
      <c r="C27" s="94">
        <v>213.8</v>
      </c>
      <c r="D27" s="34">
        <v>53100</v>
      </c>
      <c r="E27" s="34">
        <v>61950</v>
      </c>
      <c r="F27" s="33">
        <f>Table132[[#This Row],[New position]]-Table132[[#This Row],[Old position]]</f>
        <v>8850</v>
      </c>
      <c r="G27" s="34">
        <f>ROUND(Table132[[#This Row],[Target allocation ($)]]/(IF(G73&gt;0, G55,E55)*C22)*100,3)</f>
        <v>7.0819999999999999</v>
      </c>
      <c r="H27" s="39">
        <f>Table132[[#This Row],[New position]]*Table132[[#This Row],[Last_Price]]</f>
        <v>13244910</v>
      </c>
      <c r="I27" s="27"/>
      <c r="J27" s="95" t="s">
        <v>77</v>
      </c>
      <c r="K27" s="95">
        <v>218.66</v>
      </c>
      <c r="L27"/>
      <c r="M27"/>
      <c r="N27"/>
      <c r="O27"/>
      <c r="P27"/>
      <c r="Q27"/>
    </row>
    <row r="28" spans="1:17" x14ac:dyDescent="0.25">
      <c r="A28" s="34" t="s">
        <v>66</v>
      </c>
      <c r="B28" s="34" t="s">
        <v>14</v>
      </c>
      <c r="C28" s="94">
        <v>64.290000000000006</v>
      </c>
      <c r="D28" s="34">
        <v>320643</v>
      </c>
      <c r="E28" s="34">
        <v>320643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11.022</v>
      </c>
      <c r="H28" s="39">
        <f>Table132[[#This Row],[New position]]*Table132[[#This Row],[Last_Price]]</f>
        <v>20614138.470000003</v>
      </c>
      <c r="I28" s="27"/>
      <c r="J28" s="95"/>
      <c r="K28" s="95"/>
      <c r="L28"/>
      <c r="M28"/>
      <c r="N28"/>
      <c r="O28"/>
      <c r="P28"/>
      <c r="Q28"/>
    </row>
    <row r="29" spans="1:17" x14ac:dyDescent="0.25">
      <c r="A29" s="44" t="s">
        <v>86</v>
      </c>
      <c r="B29" s="34" t="s">
        <v>14</v>
      </c>
      <c r="C29" s="94">
        <v>53.96</v>
      </c>
      <c r="D29" s="34">
        <v>5580</v>
      </c>
      <c r="E29">
        <v>14500</v>
      </c>
      <c r="F29" s="33">
        <f>Table132[[#This Row],[New position]]-Table132[[#This Row],[Old position]]</f>
        <v>8920</v>
      </c>
      <c r="G29" s="34">
        <f>ROUND(Table132[[#This Row],[Target allocation ($)]]/(IF(G73&gt;0, G55,E55)*C22)*100,3)</f>
        <v>0.41799999999999998</v>
      </c>
      <c r="H29" s="39">
        <f>Table132[[#This Row],[New position]]*Table132[[#This Row],[Last_Price]]</f>
        <v>782420</v>
      </c>
      <c r="I29" s="106"/>
      <c r="J29" s="95" t="s">
        <v>77</v>
      </c>
      <c r="K29" s="95">
        <v>54.44</v>
      </c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203.79</v>
      </c>
      <c r="D30" s="34">
        <v>1455</v>
      </c>
      <c r="E30" s="34">
        <v>2695</v>
      </c>
      <c r="F30" s="33">
        <f>Table132[[#This Row],[New position]]-Table132[[#This Row],[Old position]]</f>
        <v>1240</v>
      </c>
      <c r="G30" s="34">
        <f>ROUND(Table132[[#This Row],[Target allocation ($)]]/(IF(G73&gt;0, G55,E55)*C22)*100,3)</f>
        <v>0.29399999999999998</v>
      </c>
      <c r="H30" s="39">
        <f>Table132[[#This Row],[New position]]*Table132[[#This Row],[Last_Price]]</f>
        <v>549214.04999999993</v>
      </c>
      <c r="I30" s="106"/>
      <c r="J30" s="95" t="s">
        <v>77</v>
      </c>
      <c r="K30" s="95">
        <v>205.4</v>
      </c>
      <c r="L30"/>
      <c r="M30"/>
      <c r="N30"/>
      <c r="O30"/>
      <c r="P30"/>
      <c r="Q30"/>
    </row>
    <row r="31" spans="1:17" x14ac:dyDescent="0.25">
      <c r="A31" s="44" t="s">
        <v>88</v>
      </c>
      <c r="B31" s="34" t="s">
        <v>14</v>
      </c>
      <c r="C31" s="46">
        <v>48.43</v>
      </c>
      <c r="D31" s="34">
        <v>6250</v>
      </c>
      <c r="E31" s="34">
        <v>16000</v>
      </c>
      <c r="F31" s="33">
        <f>Table132[[#This Row],[New position]]-Table132[[#This Row],[Old position]]</f>
        <v>9750</v>
      </c>
      <c r="G31" s="34">
        <f>ROUND(Table132[[#This Row],[Target allocation ($)]]/(IF(G73&gt;0, G55,E55)*C22)*100,3)</f>
        <v>0.41399999999999998</v>
      </c>
      <c r="H31" s="39">
        <f>Table132[[#This Row],[New position]]*Table132[[#This Row],[Last_Price]]</f>
        <v>774880</v>
      </c>
      <c r="I31" s="106"/>
      <c r="J31" s="95" t="s">
        <v>77</v>
      </c>
      <c r="K31" s="95">
        <v>48.61</v>
      </c>
      <c r="L31"/>
      <c r="M31"/>
      <c r="N31"/>
      <c r="O31"/>
      <c r="P31"/>
      <c r="Q31"/>
    </row>
    <row r="32" spans="1:17" x14ac:dyDescent="0.25">
      <c r="A32" s="34">
        <v>600519</v>
      </c>
      <c r="B32" s="34" t="s">
        <v>14</v>
      </c>
      <c r="C32" s="46">
        <v>235.377094972067</v>
      </c>
      <c r="D32" s="34">
        <v>900</v>
      </c>
      <c r="E32" s="34">
        <v>900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0.113</v>
      </c>
      <c r="H32" s="39">
        <f>Table132[[#This Row],[New position]]*Table132[[#This Row],[Last_Price]]</f>
        <v>211839.38547486029</v>
      </c>
      <c r="I32" s="52"/>
      <c r="J32" s="95"/>
      <c r="K32" s="95"/>
      <c r="L32"/>
      <c r="M32"/>
      <c r="N32"/>
      <c r="O32"/>
      <c r="P32"/>
      <c r="Q32"/>
    </row>
    <row r="33" spans="1:17" x14ac:dyDescent="0.25">
      <c r="A33" s="34">
        <v>700</v>
      </c>
      <c r="B33" s="34" t="s">
        <v>14</v>
      </c>
      <c r="C33" s="46">
        <v>35.294117647058798</v>
      </c>
      <c r="D33" s="34">
        <v>15300</v>
      </c>
      <c r="E33" s="34">
        <v>15300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0.28899999999999998</v>
      </c>
      <c r="H33" s="39">
        <f>Table132[[#This Row],[New position]]*Table132[[#This Row],[Last_Price]]</f>
        <v>539999.99999999965</v>
      </c>
      <c r="I33" s="52"/>
      <c r="J33" s="95"/>
      <c r="K33" s="95"/>
      <c r="L33"/>
      <c r="M33"/>
      <c r="N33"/>
      <c r="O33"/>
      <c r="P33"/>
      <c r="Q33"/>
    </row>
    <row r="34" spans="1:17" x14ac:dyDescent="0.25">
      <c r="A34" s="34">
        <v>9988</v>
      </c>
      <c r="B34" s="34" t="s">
        <v>14</v>
      </c>
      <c r="C34" s="46">
        <v>9.3222506393861906</v>
      </c>
      <c r="D34" s="34">
        <v>22000</v>
      </c>
      <c r="E34" s="34">
        <v>22000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0.11</v>
      </c>
      <c r="H34" s="39">
        <f>Table132[[#This Row],[New position]]*Table132[[#This Row],[Last_Price]]</f>
        <v>205089.51406649619</v>
      </c>
      <c r="I34" s="27"/>
      <c r="J34" s="95"/>
      <c r="K34" s="95"/>
      <c r="L34"/>
      <c r="M34"/>
      <c r="N34"/>
      <c r="O34"/>
      <c r="P34"/>
      <c r="Q34"/>
    </row>
    <row r="35" spans="1:17" x14ac:dyDescent="0.25">
      <c r="A35" s="44">
        <v>9888</v>
      </c>
      <c r="B35" s="34" t="s">
        <v>14</v>
      </c>
      <c r="C35" s="94">
        <v>12.915601023017899</v>
      </c>
      <c r="D35" s="34">
        <v>15600</v>
      </c>
      <c r="E35" s="34">
        <v>15600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0.108</v>
      </c>
      <c r="H35" s="39">
        <f>Table132[[#This Row],[New position]]*Table132[[#This Row],[Last_Price]]</f>
        <v>201483.37595907922</v>
      </c>
      <c r="I35" s="27"/>
      <c r="J35" s="95"/>
      <c r="K35" s="95"/>
      <c r="L35"/>
      <c r="M35"/>
      <c r="N35"/>
      <c r="O35"/>
      <c r="P35"/>
      <c r="Q35"/>
    </row>
    <row r="36" spans="1:17" x14ac:dyDescent="0.25">
      <c r="A36" s="44">
        <v>857</v>
      </c>
      <c r="B36" s="44" t="s">
        <v>14</v>
      </c>
      <c r="C36" s="94">
        <v>0.78260869565217395</v>
      </c>
      <c r="D36" s="34">
        <v>1684000</v>
      </c>
      <c r="E36" s="34">
        <v>1684000</v>
      </c>
      <c r="F36" s="33">
        <f>Table132[[#This Row],[New position]]-Table132[[#This Row],[Old position]]</f>
        <v>0</v>
      </c>
      <c r="G36" s="34">
        <f>ROUND(Table132[[#This Row],[Target allocation ($)]]/(IF(G73&gt;0, G55,E55)*C22)*100,3)</f>
        <v>0.70499999999999996</v>
      </c>
      <c r="H36" s="39">
        <f>Table132[[#This Row],[New position]]*Table132[[#This Row],[Last_Price]]</f>
        <v>1317913.043478261</v>
      </c>
      <c r="I36" s="59"/>
      <c r="J36" s="95"/>
      <c r="K36" s="96"/>
      <c r="L36"/>
      <c r="M36"/>
      <c r="N36"/>
      <c r="O36"/>
      <c r="P36"/>
      <c r="Q36"/>
    </row>
    <row r="37" spans="1:17" x14ac:dyDescent="0.25">
      <c r="A37" s="34">
        <v>883</v>
      </c>
      <c r="B37" s="34" t="s">
        <v>14</v>
      </c>
      <c r="C37" s="94">
        <v>2.0690537084398999</v>
      </c>
      <c r="D37" s="34">
        <v>1453000</v>
      </c>
      <c r="E37" s="34">
        <v>1453000</v>
      </c>
      <c r="F37" s="33">
        <f>Table132[[#This Row],[New position]]-Table132[[#This Row],[Old position]]</f>
        <v>0</v>
      </c>
      <c r="G37" s="34">
        <f>ROUND(Table132[[#This Row],[Target allocation ($)]]/(IF(G73&gt;0, G55,E55)*C22)*100,3)</f>
        <v>1.607</v>
      </c>
      <c r="H37" s="39">
        <f>Table132[[#This Row],[New position]]*Table132[[#This Row],[Last_Price]]</f>
        <v>3006335.0383631745</v>
      </c>
      <c r="I37" s="59"/>
      <c r="J37" s="95"/>
      <c r="K37" s="95"/>
      <c r="L37"/>
      <c r="M37"/>
      <c r="N37"/>
      <c r="O37"/>
      <c r="P37"/>
      <c r="Q37"/>
    </row>
    <row r="38" spans="1:17" x14ac:dyDescent="0.25">
      <c r="A38" s="34" t="s">
        <v>72</v>
      </c>
      <c r="B38" s="34" t="s">
        <v>14</v>
      </c>
      <c r="C38" s="94">
        <v>43.98</v>
      </c>
      <c r="D38" s="34">
        <v>239592</v>
      </c>
      <c r="E38" s="34">
        <v>239592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5.6340000000000003</v>
      </c>
      <c r="H38" s="39">
        <f>Table132[[#This Row],[New position]]*Table132[[#This Row],[Last_Price]]</f>
        <v>10537256.16</v>
      </c>
      <c r="I38" s="65"/>
      <c r="J38" s="95"/>
      <c r="K38" s="97"/>
      <c r="L38"/>
      <c r="M38"/>
      <c r="N38"/>
      <c r="O38"/>
      <c r="P38"/>
      <c r="Q38"/>
    </row>
    <row r="39" spans="1:17" x14ac:dyDescent="0.25">
      <c r="A39" s="34" t="s">
        <v>57</v>
      </c>
      <c r="B39" s="34" t="s">
        <v>14</v>
      </c>
      <c r="C39" s="46">
        <v>90.22</v>
      </c>
      <c r="D39" s="34">
        <v>1650</v>
      </c>
      <c r="E39" s="34">
        <v>1650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0.08</v>
      </c>
      <c r="H39" s="39">
        <f>Table132[[#This Row],[New position]]*Table132[[#This Row],[Last_Price]]</f>
        <v>148863</v>
      </c>
      <c r="I39" s="59"/>
      <c r="J39" s="95"/>
      <c r="K39" s="95"/>
      <c r="L39"/>
      <c r="M39"/>
      <c r="N39"/>
      <c r="O39"/>
      <c r="P39"/>
      <c r="Q39"/>
    </row>
    <row r="40" spans="1:17" x14ac:dyDescent="0.25">
      <c r="A40" s="34" t="s">
        <v>59</v>
      </c>
      <c r="B40" s="34" t="s">
        <v>14</v>
      </c>
      <c r="C40" s="46">
        <v>23.31</v>
      </c>
      <c r="D40" s="34">
        <v>13151</v>
      </c>
      <c r="E40" s="34">
        <v>13151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0.16400000000000001</v>
      </c>
      <c r="H40" s="39">
        <f>Table132[[#This Row],[New position]]*Table132[[#This Row],[Last_Price]]</f>
        <v>306549.81</v>
      </c>
      <c r="I40" s="59"/>
      <c r="J40" s="97"/>
      <c r="K40" s="97"/>
      <c r="L40"/>
      <c r="M40"/>
      <c r="N40"/>
      <c r="O40"/>
      <c r="P40"/>
      <c r="Q40"/>
    </row>
    <row r="41" spans="1:17" x14ac:dyDescent="0.25">
      <c r="A41" s="44" t="s">
        <v>58</v>
      </c>
      <c r="B41" s="44" t="s">
        <v>14</v>
      </c>
      <c r="C41" s="46">
        <v>70.099999999999994</v>
      </c>
      <c r="D41" s="34">
        <v>21678</v>
      </c>
      <c r="E41" s="34">
        <v>21678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0.81299999999999994</v>
      </c>
      <c r="H41" s="39">
        <f>Table132[[#This Row],[New position]]*Table132[[#This Row],[Last_Price]]</f>
        <v>1519627.7999999998</v>
      </c>
      <c r="I41" s="61"/>
      <c r="J41" s="97"/>
      <c r="K41" s="97"/>
      <c r="L41"/>
      <c r="M41"/>
      <c r="N41"/>
      <c r="O41"/>
      <c r="P41"/>
      <c r="Q41"/>
    </row>
    <row r="42" spans="1:17" x14ac:dyDescent="0.25">
      <c r="A42" s="44" t="s">
        <v>67</v>
      </c>
      <c r="B42" s="44" t="s">
        <v>14</v>
      </c>
      <c r="C42" s="46">
        <v>31.66</v>
      </c>
      <c r="D42" s="34">
        <v>3400</v>
      </c>
      <c r="E42" s="34">
        <v>3400</v>
      </c>
      <c r="F42" s="33">
        <f>Table132[[#This Row],[New position]]-Table132[[#This Row],[Old position]]</f>
        <v>0</v>
      </c>
      <c r="G42" s="34">
        <f>ROUND(Table132[[#This Row],[Target allocation ($)]]/(IF(G73&gt;0, G55,E55)*C22)*100,3)</f>
        <v>5.8000000000000003E-2</v>
      </c>
      <c r="H42" s="39">
        <f>Table132[[#This Row],[New position]]*Table132[[#This Row],[Last_Price]]</f>
        <v>107644</v>
      </c>
      <c r="I42" s="61"/>
      <c r="J42" s="97"/>
      <c r="K42" s="97"/>
      <c r="L42"/>
      <c r="M42"/>
      <c r="N42"/>
      <c r="O42"/>
      <c r="P42"/>
      <c r="Q42"/>
    </row>
    <row r="43" spans="1:17" x14ac:dyDescent="0.25">
      <c r="A43" s="44" t="s">
        <v>68</v>
      </c>
      <c r="B43" s="34" t="s">
        <v>14</v>
      </c>
      <c r="C43" s="46">
        <v>103.59</v>
      </c>
      <c r="D43" s="34">
        <v>189143</v>
      </c>
      <c r="E43" s="34">
        <v>189143</v>
      </c>
      <c r="F43" s="33">
        <f>Table132[[#This Row],[New position]]-Table132[[#This Row],[Old position]]</f>
        <v>0</v>
      </c>
      <c r="G43" s="34">
        <f>ROUND(Table132[[#This Row],[Target allocation ($)]]/(IF(G73&gt;0, G55,E55)*C22)*100,3)</f>
        <v>10.476000000000001</v>
      </c>
      <c r="H43" s="39">
        <f>Table132[[#This Row],[New position]]*Table132[[#This Row],[Last_Price]]</f>
        <v>19593323.370000001</v>
      </c>
      <c r="I43" s="49"/>
      <c r="J43" s="95"/>
      <c r="K43" s="97"/>
      <c r="L43"/>
      <c r="M43"/>
      <c r="N43"/>
      <c r="O43"/>
      <c r="P43"/>
      <c r="Q43"/>
    </row>
    <row r="44" spans="1:17" x14ac:dyDescent="0.25">
      <c r="A44" s="44" t="s">
        <v>11</v>
      </c>
      <c r="B44" s="34" t="s">
        <v>14</v>
      </c>
      <c r="C44" s="46">
        <v>440.98</v>
      </c>
      <c r="D44" s="34">
        <v>25492</v>
      </c>
      <c r="E44" s="34">
        <v>29706</v>
      </c>
      <c r="F44" s="33">
        <f>Table132[[#This Row],[New position]]-Table132[[#This Row],[Old position]]</f>
        <v>4214</v>
      </c>
      <c r="G44" s="34">
        <f>ROUND(Table132[[#This Row],[Target allocation ($)]]/(IF(G73&gt;0, G55,E55)*C22)*100,3)</f>
        <v>7.0039999999999996</v>
      </c>
      <c r="H44" s="39">
        <f>Table132[[#This Row],[New position]]*Table132[[#This Row],[Last_Price]]</f>
        <v>13099751.880000001</v>
      </c>
      <c r="I44" s="99"/>
      <c r="J44" s="95" t="s">
        <v>77</v>
      </c>
      <c r="K44" s="97">
        <v>443.65</v>
      </c>
      <c r="L44"/>
      <c r="M44"/>
      <c r="N44"/>
      <c r="O44"/>
      <c r="P44"/>
      <c r="Q44"/>
    </row>
    <row r="45" spans="1:17" x14ac:dyDescent="0.25">
      <c r="A45" s="44" t="s">
        <v>31</v>
      </c>
      <c r="B45" s="34" t="s">
        <v>14</v>
      </c>
      <c r="C45" s="46">
        <v>48.19</v>
      </c>
      <c r="D45" s="34">
        <v>18500</v>
      </c>
      <c r="E45" s="34">
        <v>18500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0.47699999999999998</v>
      </c>
      <c r="H45" s="39">
        <f>Table132[[#This Row],[New position]]*Table132[[#This Row],[Last_Price]]</f>
        <v>891515</v>
      </c>
      <c r="I45" s="100"/>
      <c r="J45" s="95"/>
      <c r="K45" s="97"/>
      <c r="L45"/>
      <c r="M45"/>
      <c r="N45"/>
      <c r="O45"/>
      <c r="P45"/>
      <c r="Q45"/>
    </row>
    <row r="46" spans="1:17" x14ac:dyDescent="0.25">
      <c r="A46" s="44" t="s">
        <v>32</v>
      </c>
      <c r="B46" s="44" t="s">
        <v>14</v>
      </c>
      <c r="C46" s="46">
        <v>79.73</v>
      </c>
      <c r="D46" s="34">
        <v>36312</v>
      </c>
      <c r="E46" s="34">
        <v>36312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1.548</v>
      </c>
      <c r="H46" s="39">
        <f>Table132[[#This Row],[New position]]*Table132[[#This Row],[Last_Price]]</f>
        <v>2895155.7600000002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33</v>
      </c>
      <c r="B47" s="44" t="s">
        <v>14</v>
      </c>
      <c r="C47" s="46">
        <v>71.55</v>
      </c>
      <c r="D47" s="34">
        <v>38350</v>
      </c>
      <c r="E47" s="34">
        <v>38350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1.4670000000000001</v>
      </c>
      <c r="H47" s="39">
        <f>Table132[[#This Row],[New position]]*Table132[[#This Row],[Last_Price]]</f>
        <v>2743942.5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41</v>
      </c>
      <c r="B48" s="44" t="s">
        <v>14</v>
      </c>
      <c r="C48" s="46">
        <v>93.6</v>
      </c>
      <c r="D48" s="34">
        <v>30000</v>
      </c>
      <c r="E48" s="34">
        <v>30000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1.5009999999999999</v>
      </c>
      <c r="H48" s="39">
        <f>Table132[[#This Row],[New position]]*Table132[[#This Row],[Last_Price]]</f>
        <v>2808000</v>
      </c>
      <c r="I48" s="26"/>
      <c r="J48" s="97"/>
      <c r="K48" s="97"/>
      <c r="L48"/>
      <c r="M48"/>
      <c r="N48"/>
      <c r="O48"/>
      <c r="P48"/>
      <c r="Q48"/>
    </row>
    <row r="49" spans="1:17" x14ac:dyDescent="0.25">
      <c r="A49" s="44" t="s">
        <v>44</v>
      </c>
      <c r="B49" s="44" t="s">
        <v>14</v>
      </c>
      <c r="C49" s="46">
        <v>107.27</v>
      </c>
      <c r="D49" s="34">
        <v>26725</v>
      </c>
      <c r="E49" s="34">
        <v>26725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1.5329999999999999</v>
      </c>
      <c r="H49" s="39">
        <f>Table132[[#This Row],[New position]]*Table132[[#This Row],[Last_Price]]</f>
        <v>2866790.75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51</v>
      </c>
      <c r="B50" s="44" t="s">
        <v>14</v>
      </c>
      <c r="C50" s="46">
        <v>36.36</v>
      </c>
      <c r="D50" s="34">
        <v>78324</v>
      </c>
      <c r="E50" s="34">
        <v>78324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1.5229999999999999</v>
      </c>
      <c r="H50" s="39">
        <f>Table132[[#This Row],[New position]]*Table132[[#This Row],[Last_Price]]</f>
        <v>2847860.64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71</v>
      </c>
      <c r="B51" s="44" t="s">
        <v>14</v>
      </c>
      <c r="C51" s="46">
        <v>47.19</v>
      </c>
      <c r="D51" s="34">
        <v>21013</v>
      </c>
      <c r="E51" s="34">
        <v>21013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0.53</v>
      </c>
      <c r="H51" s="39">
        <f>Table132[[#This Row],[New position]]*Table132[[#This Row],[Last_Price]]</f>
        <v>991603.47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189.42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3.9039999999999999</v>
      </c>
      <c r="H52" s="39">
        <f>Table132[[#This Row],[New position]]*Table132[[#This Row],[Last_Price]]</f>
        <v>7301004.4799999995</v>
      </c>
      <c r="I52" s="62"/>
      <c r="J52" s="97"/>
      <c r="K52" s="97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69"/>
      <c r="K53" s="83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69"/>
      <c r="K54" s="83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101" t="s">
        <v>80</v>
      </c>
      <c r="K55" s="82" t="s">
        <v>81</v>
      </c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8" t="s">
        <v>82</v>
      </c>
      <c r="K56" s="104">
        <f>1-SUM(K57:K58)</f>
        <v>0.41673227889647668</v>
      </c>
      <c r="L56"/>
      <c r="M56"/>
      <c r="N56"/>
      <c r="O56"/>
      <c r="P56"/>
      <c r="Q56"/>
    </row>
    <row r="57" spans="1:17" ht="15" customHeight="1" x14ac:dyDescent="0.25">
      <c r="A57" s="44" t="s">
        <v>62</v>
      </c>
      <c r="B57" s="44"/>
      <c r="C57" s="45"/>
      <c r="D57" s="47" t="str">
        <f>Table132[[#This Row],[Symbol]]</f>
        <v>Healthcare</v>
      </c>
      <c r="E57" s="34">
        <f>ROUND(SUM(G26:G26)/100, 3)</f>
        <v>2.1000000000000001E-2</v>
      </c>
      <c r="F57" s="47" t="str">
        <f>Table132[[#This Row],[Symbol]]</f>
        <v>Healthcare</v>
      </c>
      <c r="G57" s="51">
        <f>SUM(H26:H26)/(G55*C22)</f>
        <v>2.0906541928552274E-2</v>
      </c>
      <c r="H57" s="46"/>
      <c r="I57" s="27"/>
      <c r="J57" s="68" t="s">
        <v>83</v>
      </c>
      <c r="K57" s="102">
        <f>(SUM(H32:H43)+H28)/C23</f>
        <v>0.51141438862610433</v>
      </c>
      <c r="L57"/>
      <c r="M57"/>
      <c r="N57"/>
      <c r="O57"/>
      <c r="P57"/>
      <c r="Q57"/>
    </row>
    <row r="58" spans="1:17" ht="15" customHeight="1" x14ac:dyDescent="0.25">
      <c r="A58" s="44" t="s">
        <v>53</v>
      </c>
      <c r="B58" s="44"/>
      <c r="C58" s="45"/>
      <c r="D58" s="47" t="str">
        <f>Table132[[#This Row],[Symbol]]</f>
        <v>Semiconductor</v>
      </c>
      <c r="E58" s="34">
        <f>ROUND(SUM(G27:G28)/100, 3)</f>
        <v>0.18099999999999999</v>
      </c>
      <c r="F58" s="47" t="str">
        <f>Table132[[#This Row],[Symbol]]</f>
        <v>Semiconductor</v>
      </c>
      <c r="G58" s="51">
        <f>SUM(H27:H28)/(G55*C22)</f>
        <v>0.18103587505791063</v>
      </c>
      <c r="H58" s="46"/>
      <c r="I58" s="52"/>
      <c r="J58" s="68" t="s">
        <v>84</v>
      </c>
      <c r="K58" s="103">
        <f>(H52+H45)/C23</f>
        <v>7.1853332477418957E-2</v>
      </c>
      <c r="L58"/>
      <c r="M58"/>
      <c r="N58"/>
      <c r="O58"/>
      <c r="P58"/>
      <c r="Q58"/>
    </row>
    <row r="59" spans="1:17" ht="15.75" customHeight="1" x14ac:dyDescent="0.25">
      <c r="A59" s="44" t="s">
        <v>54</v>
      </c>
      <c r="B59" s="44"/>
      <c r="C59" s="45"/>
      <c r="D59" s="47" t="str">
        <f>Table132[[#This Row],[Symbol]]</f>
        <v>Small Cap</v>
      </c>
      <c r="E59" s="51">
        <f>ROUND(SUM(G29:G31)/100, 3)</f>
        <v>1.0999999999999999E-2</v>
      </c>
      <c r="F59" s="47" t="str">
        <f>Table132[[#This Row],[Symbol]]</f>
        <v>Small Cap</v>
      </c>
      <c r="G59" s="51">
        <f>SUM(H29:H31)/(G55*C22)</f>
        <v>1.1263004472834594E-2</v>
      </c>
      <c r="H59" s="46"/>
      <c r="I59" s="52"/>
      <c r="J59" s="70"/>
      <c r="K59" s="84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4.25" customHeight="1" x14ac:dyDescent="0.25">
      <c r="A62" s="44" t="s">
        <v>52</v>
      </c>
      <c r="B62" s="44"/>
      <c r="C62" s="45"/>
      <c r="D62" s="47" t="str">
        <f>Table132[[#This Row],[Symbol]]</f>
        <v>Int Stocks</v>
      </c>
      <c r="E62" s="34">
        <f>ROUND(SUM(G32:G40)/100, 3)</f>
        <v>8.7999999999999995E-2</v>
      </c>
      <c r="F62" s="47" t="str">
        <f>Table132[[#This Row],[Symbol]]</f>
        <v>Int Stocks</v>
      </c>
      <c r="G62" s="34">
        <f>SUM(H32:H40)/(G55*C22)</f>
        <v>8.8089470803802361E-2</v>
      </c>
      <c r="H62" s="46"/>
      <c r="I62" s="27" t="s">
        <v>85</v>
      </c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69</v>
      </c>
      <c r="B63" s="44"/>
      <c r="C63" s="45"/>
      <c r="D63" s="47" t="str">
        <f>Table132[[#This Row],[Symbol]]</f>
        <v>JP Stocks</v>
      </c>
      <c r="E63" s="34">
        <f>ROUND(SUM(G41:G43)/100, 3)</f>
        <v>0.113</v>
      </c>
      <c r="F63" s="47" t="str">
        <f>Table132[[#This Row],[Symbol]]</f>
        <v>JP Stocks</v>
      </c>
      <c r="G63" s="51">
        <f>SUM(H41:H43)/(G55*C22)</f>
        <v>0.11346122202029567</v>
      </c>
      <c r="H63" s="46"/>
      <c r="I63" s="63"/>
      <c r="J63" s="72"/>
      <c r="K63" s="86"/>
      <c r="L63"/>
      <c r="M63"/>
      <c r="N63"/>
      <c r="O63"/>
      <c r="P63"/>
      <c r="Q63"/>
    </row>
    <row r="64" spans="1:17" ht="15.75" customHeight="1" x14ac:dyDescent="0.25">
      <c r="A64" s="44" t="s">
        <v>78</v>
      </c>
      <c r="B64" s="44"/>
      <c r="C64" s="45"/>
      <c r="D64" s="47" t="str">
        <f>Table132[[#This Row],[Symbol]]</f>
        <v>Nasdaq</v>
      </c>
      <c r="E64" s="51">
        <f>ROUND(SUM(G44)/100, 3)</f>
        <v>7.0000000000000007E-2</v>
      </c>
      <c r="F64" s="47" t="str">
        <f>Table132[[#This Row],[Symbol]]</f>
        <v>Nasdaq</v>
      </c>
      <c r="G64" s="51">
        <f>SUM(H44)/(G55*C22)</f>
        <v>7.0041101324467031E-2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5.75" customHeight="1" x14ac:dyDescent="0.25">
      <c r="A65" s="58" t="s">
        <v>55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44" t="s">
        <v>60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51">
        <f>SUM(0)/(G55*C22)</f>
        <v>0</v>
      </c>
      <c r="H66" s="46"/>
      <c r="I66" s="59"/>
      <c r="J66" s="71"/>
      <c r="K66" s="85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ROUND((SUM(G46:G51))/100, 3)</f>
        <v>8.1000000000000003E-2</v>
      </c>
      <c r="F67" s="47" t="str">
        <f>Table132[[#This Row],[Symbol]]</f>
        <v>Bonds</v>
      </c>
      <c r="G67" s="105">
        <f>(SUM(H46:H51))/(G55*C22)</f>
        <v>8.1021194218477713E-2</v>
      </c>
      <c r="H67" s="46"/>
      <c r="I67" s="27"/>
      <c r="J67" s="68"/>
      <c r="K67" s="82"/>
      <c r="L67"/>
      <c r="M67"/>
      <c r="N67"/>
      <c r="O67"/>
      <c r="P67"/>
      <c r="Q67"/>
    </row>
    <row r="68" spans="1:17" ht="14.25" customHeight="1" x14ac:dyDescent="0.25">
      <c r="A68" s="44" t="s">
        <v>64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3"/>
      <c r="K68" s="87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3.9E-2</v>
      </c>
      <c r="F69" s="47" t="str">
        <f>Table132[[#This Row],[Symbol]]</f>
        <v>Gold</v>
      </c>
      <c r="G69" s="51">
        <f>SUM(H52)/(G55*C22)</f>
        <v>3.9036647353206791E-2</v>
      </c>
      <c r="H69" s="34"/>
      <c r="I69" s="28"/>
      <c r="J69" s="74"/>
      <c r="K69" s="81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ROUND(SUM(G45)/100,3)</f>
        <v>5.0000000000000001E-3</v>
      </c>
      <c r="F70" s="47" t="str">
        <f>Table132[[#This Row],[Symbol]]</f>
        <v>Commodities</v>
      </c>
      <c r="G70" s="34">
        <f>SUM(H45)/(G55*C22)</f>
        <v>4.7667080277006149E-3</v>
      </c>
      <c r="H70" s="34"/>
      <c r="I70" s="29"/>
      <c r="J70" s="75"/>
      <c r="K70" s="88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ROUND(SUM(0)/100,3)</f>
        <v>0</v>
      </c>
      <c r="F71" s="47" t="str">
        <f>Table132[[#This Row],[Symbol]]</f>
        <v>Crypto</v>
      </c>
      <c r="G71" s="51">
        <f>SUM(0)/(G55*C22)</f>
        <v>0</v>
      </c>
      <c r="H71" s="46"/>
      <c r="I71" s="50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0.39100000000000001</v>
      </c>
      <c r="F72" s="47" t="str">
        <f>Table132[[#This Row],[Symbol]]</f>
        <v>Cash</v>
      </c>
      <c r="G72" s="34">
        <f>1-SUM(G56:G71)</f>
        <v>0.39037823479275224</v>
      </c>
      <c r="H72" s="34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18282133.234000001</v>
      </c>
      <c r="F73" s="31"/>
      <c r="G73" s="34">
        <f>C22*G72</f>
        <v>18253061.125664528</v>
      </c>
      <c r="H73" s="39"/>
      <c r="I73" s="30"/>
      <c r="J73" s="77"/>
      <c r="K73" s="90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8"/>
      <c r="K77" s="91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2024-01-08T12:16:57Z</cp:lastPrinted>
  <dcterms:created xsi:type="dcterms:W3CDTF">2020-06-30T03:42:56Z</dcterms:created>
  <dcterms:modified xsi:type="dcterms:W3CDTF">2025-08-04T09:54:17Z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