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114" documentId="14_{A48F4B07-3EF3-43E5-91B2-4CA340E6013A}" xr6:coauthVersionLast="47" xr6:coauthVersionMax="47" xr10:uidLastSave="{22918603-443F-47B5-942F-F41BA13C53C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E66" i="3" l="1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C6" i="3" l="1"/>
  <c r="G59" i="3"/>
  <c r="G70" i="3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<sst xmlns="http://schemas.openxmlformats.org/spreadsheetml/2006/main" count="118" uniqueCount="90">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</sst>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2.4E-2</c:v>
                </c:pt>
                <c:pt idx="2">
                  <c:v>0.20699999999999999</c:v>
                </c:pt>
                <c:pt idx="3">
                  <c:v>2.5000000000000001E-2</c:v>
                </c:pt>
                <c:pt idx="4">
                  <c:v>0</c:v>
                </c:pt>
                <c:pt idx="5">
                  <c:v>0</c:v>
                </c:pt>
                <c:pt idx="6">
                  <c:v>8.5999999999999993E-2</c:v>
                </c:pt>
                <c:pt idx="7">
                  <c:v>0.105</c:v>
                </c:pt>
                <c:pt idx="8">
                  <c:v>9.1999999999999998E-2</c:v>
                </c:pt>
                <c:pt idx="9">
                  <c:v>0</c:v>
                </c:pt>
                <c:pt idx="10">
                  <c:v>0</c:v>
                </c:pt>
                <c:pt idx="11">
                  <c:v>8.2000000000000003E-2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0.33600000000000008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0.49148581992246765</c:v>
                </c:pt>
                <c:pt idx="1">
                  <c:v>0.44455302667651181</c:v>
                </c:pt>
                <c:pt idx="2">
                  <c:v>6.3961153401020515E-2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topLeftCell="A28" zoomScale="120" zoomScaleNormal="120" workbookViewId="0">
      <selection activeCell="K49" sqref="K4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45359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2.656778209284242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9.5842593442746621E-2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0.82790387273517452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0.10090696282828164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0.34298401959931196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0.42087187671976034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0.36916205907801947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0.32917622628442889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0.15142594575621893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51137138.759999998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51137138.759999998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135860035.9427126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146.74</v>
      </c>
      <c r="D26" s="34">
        <v>33400</v>
      </c>
      <c r="E26" s="34">
        <v>33400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2.3959999999999999</v>
      </c>
      <c r="H26" s="39">
        <f>Table132[[#This Row],[New position]]*Table132[[#This Row],[Last_Price]]</f>
        <v>4901116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237.3</v>
      </c>
      <c r="D27" s="34">
        <v>88500</v>
      </c>
      <c r="E27" s="34">
        <v>88500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10.266999999999999</v>
      </c>
      <c r="H27" s="39">
        <f>Table132[[#This Row],[New position]]*Table132[[#This Row],[Last_Price]]</f>
        <v>21001050</v>
      </c>
      <c r="I27" s="27"/>
      <c r="J27" s="95"/>
      <c r="K27" s="95"/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66.540000000000006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10.430999999999999</v>
      </c>
      <c r="H28" s="39">
        <f>Table132[[#This Row],[New position]]*Table132[[#This Row],[Last_Price]]</f>
        <v>21335585.220000003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55.18</v>
      </c>
      <c r="D29">
        <v>39974</v>
      </c>
      <c r="E29">
        <v>45492</v>
      </c>
      <c r="F29" s="33">
        <f>Table132[[#This Row],[New position]]-Table132[[#This Row],[Old position]]</f>
        <v>5518</v>
      </c>
      <c r="G29" s="34">
        <f>ROUND(Table132[[#This Row],[Target allocation ($)]]/(IF(G73&gt;0, G55,E55)*C22)*100,3)</f>
        <v>1.2270000000000001</v>
      </c>
      <c r="H29" s="39">
        <f>Table132[[#This Row],[New position]]*Table132[[#This Row],[Last_Price]]</f>
        <v>2510248.56</v>
      </c>
      <c r="I29" s="106"/>
      <c r="J29" s="95" t="s">
        <v>77</v>
      </c>
      <c r="K29" s="95">
        <v>55.27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207.36</v>
      </c>
      <c r="D30" s="34">
        <v>5399</v>
      </c>
      <c r="E30" s="34">
        <v>5399</v>
      </c>
      <c r="F30" s="33">
        <f>Table132[[#This Row],[New position]]-Table132[[#This Row],[Old position]]</f>
        <v>0</v>
      </c>
      <c r="G30" s="34">
        <f>ROUND(Table132[[#This Row],[Target allocation ($)]]/(IF(G73&gt;0, G55,E55)*C22)*100,3)</f>
        <v>0.54700000000000004</v>
      </c>
      <c r="H30" s="39">
        <f>Table132[[#This Row],[New position]]*Table132[[#This Row],[Last_Price]]</f>
        <v>1119536.6400000001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47.87</v>
      </c>
      <c r="D31" s="34">
        <v>31968</v>
      </c>
      <c r="E31" s="34">
        <v>31968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0.748</v>
      </c>
      <c r="H31" s="39">
        <f>Table132[[#This Row],[New position]]*Table132[[#This Row],[Last_Price]]</f>
        <v>1530308.16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233.72067039106099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0.10299999999999999</v>
      </c>
      <c r="H32" s="39">
        <f>Table132[[#This Row],[New position]]*Table132[[#This Row],[Last_Price]]</f>
        <v>210348.60335195489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34.6035805626599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0.25900000000000001</v>
      </c>
      <c r="H33" s="39">
        <f>Table132[[#This Row],[New position]]*Table132[[#This Row],[Last_Price]]</f>
        <v>529434.78260869649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9.1176470588235308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9.8000000000000004E-2</v>
      </c>
      <c r="H34" s="39">
        <f>Table132[[#This Row],[New position]]*Table132[[#This Row],[Last_Price]]</f>
        <v>200588.23529411768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12.3017902813299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9.4E-2</v>
      </c>
      <c r="H35" s="39">
        <f>Table132[[#This Row],[New position]]*Table132[[#This Row],[Last_Price]]</f>
        <v>191907.92838874646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0.79028132992327405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0.65100000000000002</v>
      </c>
      <c r="H36" s="39">
        <f>Table132[[#This Row],[New position]]*Table132[[#This Row],[Last_Price]]</f>
        <v>1330833.7595907934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2.3043478260869601</v>
      </c>
      <c r="D37" s="34">
        <v>1682000</v>
      </c>
      <c r="E37" s="34">
        <v>1682000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1.895</v>
      </c>
      <c r="H37" s="39">
        <f>Table132[[#This Row],[New position]]*Table132[[#This Row],[Last_Price]]</f>
        <v>3875913.0434782668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44.87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5.2560000000000002</v>
      </c>
      <c r="H38" s="39">
        <f>Table132[[#This Row],[New position]]*Table132[[#This Row],[Last_Price]]</f>
        <v>10750493.039999999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89.15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7.1999999999999995E-2</v>
      </c>
      <c r="H39" s="39">
        <f>Table132[[#This Row],[New position]]*Table132[[#This Row],[Last_Price]]</f>
        <v>147097.5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23.01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0.14799999999999999</v>
      </c>
      <c r="H40" s="39">
        <f>Table132[[#This Row],[New position]]*Table132[[#This Row],[Last_Price]]</f>
        <v>302604.51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71.52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0.75800000000000001</v>
      </c>
      <c r="H41" s="39">
        <f>Table132[[#This Row],[New position]]*Table132[[#This Row],[Last_Price]]</f>
        <v>1550410.5599999998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32.869999999999997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5.5E-2</v>
      </c>
      <c r="H42" s="39">
        <f>Table132[[#This Row],[New position]]*Table132[[#This Row],[Last_Price]]</f>
        <v>111757.99999999999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105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9.7089999999999996</v>
      </c>
      <c r="H43" s="39">
        <f>Table132[[#This Row],[New position]]*Table132[[#This Row],[Last_Price]]</f>
        <v>19860015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445.78</v>
      </c>
      <c r="D44" s="34">
        <v>42348</v>
      </c>
      <c r="E44" s="34">
        <v>42348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9.2289999999999992</v>
      </c>
      <c r="H44" s="39">
        <f>Table132[[#This Row],[New position]]*Table132[[#This Row],[Last_Price]]</f>
        <v>18877891.439999998</v>
      </c>
      <c r="I44" s="99"/>
      <c r="J44" s="95"/>
      <c r="K44" s="97"/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51.15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0.46300000000000002</v>
      </c>
      <c r="H45" s="39">
        <f>Table132[[#This Row],[New position]]*Table132[[#This Row],[Last_Price]]</f>
        <v>946275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80.48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1.429</v>
      </c>
      <c r="H46" s="39">
        <f>Table132[[#This Row],[New position]]*Table132[[#This Row],[Last_Price]]</f>
        <v>2922389.7600000002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72.06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1.351</v>
      </c>
      <c r="H47" s="39">
        <f>Table132[[#This Row],[New position]]*Table132[[#This Row],[Last_Price]]</f>
        <v>2763501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96.19</v>
      </c>
      <c r="D48" s="34">
        <v>40460</v>
      </c>
      <c r="E48" s="34">
        <v>45660</v>
      </c>
      <c r="F48" s="33">
        <f>Table132[[#This Row],[New position]]-Table132[[#This Row],[Old position]]</f>
        <v>5200</v>
      </c>
      <c r="G48" s="34">
        <f>ROUND(Table132[[#This Row],[Target allocation ($)]]/(IF(G73&gt;0, G55,E55)*C22)*100,3)</f>
        <v>2.1469999999999998</v>
      </c>
      <c r="H48" s="39">
        <f>Table132[[#This Row],[New position]]*Table132[[#This Row],[Last_Price]]</f>
        <v>4392035.3999999994</v>
      </c>
      <c r="I48" s="26"/>
      <c r="J48" s="95" t="s">
        <v>77</v>
      </c>
      <c r="K48" s="97">
        <v>95.76</v>
      </c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108.87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1.4219999999999999</v>
      </c>
      <c r="H49" s="39">
        <f>Table132[[#This Row],[New position]]*Table132[[#This Row],[Last_Price]]</f>
        <v>2909550.75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36.380000000000003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1.393</v>
      </c>
      <c r="H50" s="39">
        <f>Table132[[#This Row],[New position]]*Table132[[#This Row],[Last_Price]]</f>
        <v>2849427.12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47.41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0.48699999999999999</v>
      </c>
      <c r="H51" s="39">
        <f>Table132[[#This Row],[New position]]*Table132[[#This Row],[Last_Price]]</f>
        <v>996226.33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200.9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3.786</v>
      </c>
      <c r="H52" s="39">
        <f>Table132[[#This Row],[New position]]*Table132[[#This Row],[Last_Price]]</f>
        <v>7743489.6000000006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4.0000000000000009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0.49148581992246765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2.4E-2</v>
      </c>
      <c r="F57" s="47" t="str">
        <f>Table132[[#This Row],[Symbol]]</f>
        <v>Healthcare</v>
      </c>
      <c r="G57" s="51">
        <f>SUM(H26:H26)/(G55*C22)</f>
        <v>2.3960648360686655E-2</v>
      </c>
      <c r="H57" s="46"/>
      <c r="I57" s="27"/>
      <c r="J57" s="68" t="s">
        <v>83</v>
      </c>
      <c r="K57" s="102">
        <f>(SUM(H32:H43)+H28)/C23</f>
        <v>0.44455302667651181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0.20699999999999999</v>
      </c>
      <c r="F58" s="47" t="str">
        <f>Table132[[#This Row],[Symbol]]</f>
        <v>Semiconductor</v>
      </c>
      <c r="G58" s="51">
        <f>SUM(H27:H28)/(G55*C22)</f>
        <v>0.20697596818379363</v>
      </c>
      <c r="H58" s="46"/>
      <c r="I58" s="52"/>
      <c r="J58" s="68" t="s">
        <v>84</v>
      </c>
      <c r="K58" s="103">
        <f>(H52+H45)/C23</f>
        <v>6.3961153401020515E-2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2.5000000000000001E-2</v>
      </c>
      <c r="F59" s="47" t="str">
        <f>Table132[[#This Row],[Symbol]]</f>
        <v>Small Cap</v>
      </c>
      <c r="G59" s="51">
        <f>SUM(H29:H31)/(G55*C22)</f>
        <v>2.522674070707041E-2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8.5999999999999993E-2</v>
      </c>
      <c r="F62" s="47" t="str">
        <f>Table132[[#This Row],[Symbol]]</f>
        <v>Int Stocks</v>
      </c>
      <c r="G62" s="34">
        <f>SUM(H32:H40)/(G55*C22)</f>
        <v>8.5746004899827991E-2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0.105</v>
      </c>
      <c r="F63" s="47" t="str">
        <f>Table132[[#This Row],[Symbol]]</f>
        <v>JP Stocks</v>
      </c>
      <c r="G63" s="51">
        <f>SUM(H41:H43)/(G55*C22)</f>
        <v>0.10521796917994009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9.1999999999999998E-2</v>
      </c>
      <c r="F64" s="47" t="str">
        <f>Table132[[#This Row],[Symbol]]</f>
        <v>Nasdaq</v>
      </c>
      <c r="G64" s="51">
        <f>SUM(H44)/(G55*C22)</f>
        <v>9.2290514769504867E-2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8.2000000000000003E-2</v>
      </c>
      <c r="F67" s="47" t="str">
        <f>Table132[[#This Row],[Symbol]]</f>
        <v>Bonds</v>
      </c>
      <c r="G67" s="105">
        <f>(SUM(H46:H51))/(G55*C22)</f>
        <v>8.2294056571107221E-2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3.7999999999999999E-2</v>
      </c>
      <c r="F69" s="47" t="str">
        <f>Table132[[#This Row],[Symbol]]</f>
        <v>Gold</v>
      </c>
      <c r="G69" s="51">
        <f>SUM(H52)/(G55*C22)</f>
        <v>3.7856486439054732E-2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4.6261632100747596E-3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0.33600000000000008</v>
      </c>
      <c r="F72" s="47" t="str">
        <f>Table132[[#This Row],[Symbol]]</f>
        <v>Cash</v>
      </c>
      <c r="G72" s="34">
        <f>1-SUM(G56:G71)</f>
        <v>0.33580544767893961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17182078.623360004</v>
      </c>
      <c r="F73" s="31"/>
      <c r="G73" s="34">
        <f>C22*G72</f>
        <v>17172129.774321854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2024-03-08T23:22:56Z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