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206" documentId="14_{A48F4B07-3EF3-43E5-91B2-4CA340E6013A}" xr6:coauthVersionLast="47" xr6:coauthVersionMax="47" xr10:uidLastSave="{91EFD5FA-3A8E-441B-BC40-913AA472C41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1" i="3" l="1"/>
  <c r="K63" i="3"/>
  <c r="K62" i="3"/>
  <c r="C6" i="3"/>
  <c r="C5" i="3"/>
  <c r="C4" i="3"/>
  <c r="F63" i="3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F40" i="3" l="1"/>
  <c r="F32" i="3" l="1"/>
  <c r="C24" i="3"/>
  <c r="G64" i="3" l="1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G30" i="3" l="1"/>
  <c r="E64" i="3" s="1"/>
  <c r="G29" i="3"/>
  <c r="E63" i="3" s="1"/>
  <c r="G28" i="3"/>
  <c r="E62" i="3" s="1"/>
  <c r="G32" i="3"/>
  <c r="G33" i="3"/>
  <c r="E60" i="3"/>
  <c r="G36" i="3"/>
  <c r="G34" i="3"/>
  <c r="G35" i="3"/>
  <c r="G50" i="3"/>
  <c r="E77" i="3" s="1"/>
  <c r="G49" i="3"/>
  <c r="E71" i="3" s="1"/>
  <c r="G48" i="3"/>
  <c r="G31" i="3"/>
  <c r="G46" i="3"/>
  <c r="G47" i="3"/>
  <c r="G51" i="3"/>
  <c r="G37" i="3"/>
  <c r="G55" i="3"/>
  <c r="G41" i="3"/>
  <c r="G53" i="3"/>
  <c r="G38" i="3"/>
  <c r="G54" i="3"/>
  <c r="G52" i="3"/>
  <c r="G44" i="3"/>
  <c r="E65" i="3" l="1"/>
  <c r="E66" i="3"/>
  <c r="G40" i="3"/>
  <c r="G57" i="3"/>
  <c r="E76" i="3" s="1"/>
  <c r="G56" i="3"/>
  <c r="E74" i="3" s="1"/>
  <c r="G39" i="3"/>
  <c r="G43" i="3"/>
  <c r="G45" i="3"/>
  <c r="G42" i="3"/>
  <c r="E70" i="3"/>
  <c r="E69" i="3" l="1"/>
  <c r="E79" i="3" s="1"/>
  <c r="E80" i="3" s="1"/>
</calcChain>
</file>

<file path=xl/sharedStrings.xml><?xml version="1.0" encoding="utf-8"?>
<sst xmlns="http://schemas.openxmlformats.org/spreadsheetml/2006/main" count="134" uniqueCount="97">
  <si>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</si>
  <si>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</si>
  <si>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</si>
  <si>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</si>
  <si>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</si>
  <si>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</si>
  <si>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</si>
  <si>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</si>
  <si>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</si>
  <si>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</si>
  <si>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</si>
  <si>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</si>
  <si>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</si>
  <si>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</si>
  <si>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</si>
  <si>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</si>
  <si>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</si>
  <si>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</si>
  <si>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</si>
  <si>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</si>
  <si>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</si>
  <si>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</si>
  <si>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</si>
  <si>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</si>
  <si>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</si>
  <si>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</si>
  <si>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</si>
  <si>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</si>
  <si>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</si>
  <si>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</si>
  <si>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</si>
  <si>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</si>
  <si>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</si>
  <si>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</si>
  <si>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</si>
  <si>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</si>
  <si>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</si>
  <si>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</si>
  <si>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</si>
  <si>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</si>
  <si>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</si>
  <si>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</si>
  <si>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</si>
  <si>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</si>
  <si>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</si>
  <si>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</si>
  <si>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</si>
  <si>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</si>
  <si>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</si>
  <si>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</si>
  <si>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</si>
  <si>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Small Cap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</si>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</sst>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  <xf numFmtId="0" fontId="25" fillId="2" borderId="1" xfId="0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Small Cap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2.9000000000000001E-2</c:v>
                </c:pt>
                <c:pt idx="2">
                  <c:v>0.01</c:v>
                </c:pt>
                <c:pt idx="3">
                  <c:v>0.01</c:v>
                </c:pt>
                <c:pt idx="4">
                  <c:v>0.254</c:v>
                </c:pt>
                <c:pt idx="5">
                  <c:v>3.6999999999999998E-2</c:v>
                </c:pt>
                <c:pt idx="6">
                  <c:v>0</c:v>
                </c:pt>
                <c:pt idx="7">
                  <c:v>0</c:v>
                </c:pt>
                <c:pt idx="8">
                  <c:v>8.6999999999999994E-2</c:v>
                </c:pt>
                <c:pt idx="9">
                  <c:v>0.105</c:v>
                </c:pt>
                <c:pt idx="10">
                  <c:v>0.112</c:v>
                </c:pt>
                <c:pt idx="11">
                  <c:v>0</c:v>
                </c:pt>
                <c:pt idx="12">
                  <c:v>0</c:v>
                </c:pt>
                <c:pt idx="13">
                  <c:v>9.0999999999999998E-2</c:v>
                </c:pt>
                <c:pt idx="14">
                  <c:v>0</c:v>
                </c:pt>
                <c:pt idx="15">
                  <c:v>3.7999999999999999E-2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0.22300000000000009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0.55894982473455745</c:v>
                </c:pt>
                <c:pt idx="1">
                  <c:v>0.38597770716110591</c:v>
                </c:pt>
                <c:pt idx="2">
                  <c:v>5.5072468104336671E-2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46" zoomScale="120" zoomScaleNormal="120" workbookViewId="0">
      <selection activeCell="K69" sqref="K6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6" t="s">
        <v>0</v>
      </c>
      <c r="B1" s="106"/>
      <c r="C1" s="12">
        <v>45364</v>
      </c>
      <c r="E1" s="14"/>
      <c r="F1" s="14"/>
      <c r="G1" s="43"/>
      <c r="H1" s="14"/>
      <c r="J1" s="66"/>
      <c r="K1" s="80"/>
    </row>
    <row r="2" spans="1:12" s="13" customFormat="1" x14ac:dyDescent="0.25">
      <c r="A2" s="106" t="s">
        <v>10</v>
      </c>
      <c r="B2" s="106"/>
      <c r="C2" s="15">
        <f>C25/C24</f>
        <v>3.1142539186956633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8" t="s">
        <v>85</v>
      </c>
      <c r="B3" s="109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57</v>
      </c>
      <c r="B4" s="57"/>
      <c r="C4" s="15">
        <f>SUM(H28:H28)/C24</f>
        <v>0.11782695920665115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95</v>
      </c>
      <c r="B5" s="57"/>
      <c r="C5" s="15">
        <f>SUM(H29:H29)/C24</f>
        <v>3.9921103931761057E-2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96</v>
      </c>
      <c r="B6" s="57"/>
      <c r="C6" s="15">
        <f>SUM(H30:H30)/C24</f>
        <v>3.9732907179271547E-2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1.0151089499738455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8" t="s">
        <v>89</v>
      </c>
      <c r="B8" s="109"/>
      <c r="C8" s="15">
        <f>SUM(H34:H36)/C24</f>
        <v>0.14649265921404062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86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87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8" t="s">
        <v>39</v>
      </c>
      <c r="B11" s="109"/>
      <c r="C11" s="15">
        <f>SUM(H37:H45)/C24</f>
        <v>0.34995257534107532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8" t="s">
        <v>66</v>
      </c>
      <c r="B12" s="109"/>
      <c r="C12" s="15">
        <f>SUM(H46:H48)/C24</f>
        <v>0.42185350828373186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8" t="s">
        <v>75</v>
      </c>
      <c r="B13" s="109"/>
      <c r="C13" s="15">
        <f>SUM(H49)/C24</f>
        <v>0.44720297772895112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88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59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8" t="s">
        <v>26</v>
      </c>
      <c r="B16" s="109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8" t="s">
        <v>25</v>
      </c>
      <c r="B17" s="109"/>
      <c r="C17" s="15">
        <f>SUM(H51:H56)/C24</f>
        <v>0.36465262823016359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61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7" t="s">
        <v>37</v>
      </c>
      <c r="B19" s="107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8" t="s">
        <v>38</v>
      </c>
      <c r="B20" s="109"/>
      <c r="C20" s="15">
        <f>SUM(H57)/C24</f>
        <v>0.15377342399187327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6" t="s">
        <v>8</v>
      </c>
      <c r="B21" s="106"/>
      <c r="C21" s="18">
        <v>50098314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6" t="s">
        <v>6</v>
      </c>
      <c r="B22" s="106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6" t="s">
        <v>7</v>
      </c>
      <c r="B23" s="106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6" t="s">
        <v>9</v>
      </c>
      <c r="B24" s="106"/>
      <c r="C24" s="18">
        <f>C21+C22-C23</f>
        <v>50098314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7" t="s">
        <v>5</v>
      </c>
      <c r="B25" s="107"/>
      <c r="C25" s="11">
        <f t="array" ref="C25">SUM(ABS(Table132[Target allocation ($)]))</f>
        <v>156018870.69454581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69</v>
      </c>
      <c r="K27" s="93" t="s">
        <v>70</v>
      </c>
    </row>
    <row r="28" spans="1:17" x14ac:dyDescent="0.25">
      <c r="A28" s="44" t="s">
        <v>72</v>
      </c>
      <c r="B28" s="34" t="s">
        <v>14</v>
      </c>
      <c r="C28" s="94">
        <v>147</v>
      </c>
      <c r="D28" s="34">
        <v>33400</v>
      </c>
      <c r="E28" s="34">
        <v>40156</v>
      </c>
      <c r="F28" s="33">
        <f>Table132[[#This Row],[New position]]-Table132[[#This Row],[Old position]]</f>
        <v>6756</v>
      </c>
      <c r="G28" s="34">
        <f>ROUND(Table132[[#This Row],[Target allocation ($)]]/(IF(G80&gt;0, G60,E60)*C24)*100,3)</f>
        <v>2.9460000000000002</v>
      </c>
      <c r="H28" s="39">
        <f>Table132[[#This Row],[New position]]*Table132[[#This Row],[Last_Price]]</f>
        <v>5902932</v>
      </c>
      <c r="I28" s="98"/>
      <c r="J28" s="95" t="s">
        <v>73</v>
      </c>
      <c r="K28" s="95">
        <v>146.88</v>
      </c>
      <c r="L28"/>
      <c r="M28"/>
      <c r="N28"/>
      <c r="O28"/>
      <c r="P28"/>
      <c r="Q28"/>
    </row>
    <row r="29" spans="1:17" x14ac:dyDescent="0.25">
      <c r="A29" s="44" t="s">
        <v>91</v>
      </c>
      <c r="B29" s="44" t="s">
        <v>14</v>
      </c>
      <c r="C29" s="94">
        <v>41</v>
      </c>
      <c r="D29" s="34">
        <v>0</v>
      </c>
      <c r="E29" s="34">
        <v>48780</v>
      </c>
      <c r="F29" s="33">
        <f>Table132[[#This Row],[New position]]-Table132[[#This Row],[Old position]]</f>
        <v>48780</v>
      </c>
      <c r="G29" s="34">
        <f>ROUND(Table132[[#This Row],[Target allocation ($)]]/(IF(G80&gt;0, G60,E60)*C24)*100,3)</f>
        <v>0.998</v>
      </c>
      <c r="H29" s="39">
        <f>Table132[[#This Row],[New position]]*Table132[[#This Row],[Last_Price]]</f>
        <v>1999980</v>
      </c>
      <c r="I29" s="112"/>
      <c r="J29" s="95" t="s">
        <v>73</v>
      </c>
      <c r="K29" s="95">
        <v>41.08</v>
      </c>
      <c r="L29"/>
      <c r="M29"/>
      <c r="N29"/>
      <c r="O29"/>
      <c r="P29"/>
      <c r="Q29"/>
    </row>
    <row r="30" spans="1:17" x14ac:dyDescent="0.25">
      <c r="A30" s="34" t="s">
        <v>92</v>
      </c>
      <c r="B30" s="34" t="s">
        <v>14</v>
      </c>
      <c r="C30" s="94">
        <v>211.02</v>
      </c>
      <c r="D30" s="34">
        <v>0</v>
      </c>
      <c r="E30" s="34">
        <v>9433</v>
      </c>
      <c r="F30" s="33">
        <f>Table132[[#This Row],[New position]]-Table132[[#This Row],[Old position]]</f>
        <v>9433</v>
      </c>
      <c r="G30" s="34">
        <f>ROUND(Table132[[#This Row],[Target allocation ($)]]/(IF(G80&gt;0, G60,E60)*C24)*100,3)</f>
        <v>0.99299999999999999</v>
      </c>
      <c r="H30" s="39">
        <f>Table132[[#This Row],[New position]]*Table132[[#This Row],[Last_Price]]</f>
        <v>1990551.6600000001</v>
      </c>
      <c r="I30" s="112"/>
      <c r="J30" s="95" t="s">
        <v>73</v>
      </c>
      <c r="K30" s="95">
        <v>208.79</v>
      </c>
      <c r="L30"/>
      <c r="M30"/>
      <c r="N30"/>
      <c r="O30"/>
      <c r="P30"/>
      <c r="Q30"/>
    </row>
    <row r="31" spans="1:17" x14ac:dyDescent="0.25">
      <c r="A31" s="44" t="s">
        <v>71</v>
      </c>
      <c r="B31" s="44" t="s">
        <v>14</v>
      </c>
      <c r="C31" s="94">
        <v>228.13</v>
      </c>
      <c r="D31" s="34">
        <v>106277</v>
      </c>
      <c r="E31" s="34">
        <v>114972</v>
      </c>
      <c r="F31" s="33">
        <f>Table132[[#This Row],[New position]]-Table132[[#This Row],[Old position]]</f>
        <v>8695</v>
      </c>
      <c r="G31" s="34">
        <f>ROUND(Table132[[#This Row],[Target allocation ($)]]/(IF(G80&gt;0, G60,E60)*C24)*100,3)</f>
        <v>13.089</v>
      </c>
      <c r="H31" s="39">
        <f>Table132[[#This Row],[New position]]*Table132[[#This Row],[Last_Price]]</f>
        <v>26228562.359999999</v>
      </c>
      <c r="I31" s="27"/>
      <c r="J31" s="95" t="s">
        <v>73</v>
      </c>
      <c r="K31" s="95">
        <v>223.14</v>
      </c>
      <c r="L31"/>
      <c r="M31"/>
      <c r="N31"/>
      <c r="O31"/>
      <c r="P31"/>
      <c r="Q31"/>
    </row>
    <row r="32" spans="1:17" x14ac:dyDescent="0.25">
      <c r="A32" s="34" t="s">
        <v>62</v>
      </c>
      <c r="B32" s="34" t="s">
        <v>14</v>
      </c>
      <c r="C32" s="94">
        <v>67.22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10.756</v>
      </c>
      <c r="H32" s="39">
        <f>Table132[[#This Row],[New position]]*Table132[[#This Row],[Last_Price]]</f>
        <v>21553622.460000001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90</v>
      </c>
      <c r="B33" s="44" t="s">
        <v>14</v>
      </c>
      <c r="C33" s="94">
        <v>925.9</v>
      </c>
      <c r="D33" s="34">
        <v>2244</v>
      </c>
      <c r="E33" s="34">
        <v>3319</v>
      </c>
      <c r="F33" s="33">
        <f>Table132[[#This Row],[New position]]-Table132[[#This Row],[Old position]]</f>
        <v>1075</v>
      </c>
      <c r="G33" s="34">
        <f>ROUND(Table132[[#This Row],[Target allocation ($)]]/(IF(G80&gt;0, G60,E60)*C24)*100,3)</f>
        <v>1.534</v>
      </c>
      <c r="H33" s="39">
        <f>Table132[[#This Row],[New position]]*Table132[[#This Row],[Last_Price]]</f>
        <v>3073062.1</v>
      </c>
      <c r="I33" s="105"/>
      <c r="J33" s="95" t="s">
        <v>73</v>
      </c>
      <c r="K33" s="95">
        <v>896.95</v>
      </c>
      <c r="L33"/>
      <c r="M33"/>
      <c r="N33"/>
      <c r="O33"/>
      <c r="P33"/>
      <c r="Q33"/>
    </row>
    <row r="34" spans="1:17" x14ac:dyDescent="0.25">
      <c r="A34" s="44" t="s">
        <v>82</v>
      </c>
      <c r="B34" s="34" t="s">
        <v>14</v>
      </c>
      <c r="C34" s="94">
        <v>55.56</v>
      </c>
      <c r="D34" s="34">
        <v>59854</v>
      </c>
      <c r="E34" s="34">
        <v>68853</v>
      </c>
      <c r="F34" s="33">
        <f>Table132[[#This Row],[New position]]-Table132[[#This Row],[Old position]]</f>
        <v>8999</v>
      </c>
      <c r="G34" s="34">
        <f>ROUND(Table132[[#This Row],[Target allocation ($)]]/(IF(G80&gt;0, G60,E60)*C24)*100,3)</f>
        <v>1.909</v>
      </c>
      <c r="H34" s="39">
        <f>Table132[[#This Row],[New position]]*Table132[[#This Row],[Last_Price]]</f>
        <v>3825472.68</v>
      </c>
      <c r="I34" s="105"/>
      <c r="J34" s="95" t="s">
        <v>73</v>
      </c>
      <c r="K34" s="95">
        <v>56.2</v>
      </c>
      <c r="L34"/>
      <c r="M34"/>
      <c r="N34"/>
      <c r="O34"/>
      <c r="P34"/>
      <c r="Q34"/>
    </row>
    <row r="35" spans="1:17" x14ac:dyDescent="0.25">
      <c r="A35" s="44" t="s">
        <v>83</v>
      </c>
      <c r="B35" s="44" t="s">
        <v>14</v>
      </c>
      <c r="C35" s="94">
        <v>204.84</v>
      </c>
      <c r="D35" s="34">
        <v>8304</v>
      </c>
      <c r="E35" s="34">
        <v>9760</v>
      </c>
      <c r="F35" s="33">
        <f>Table132[[#This Row],[New position]]-Table132[[#This Row],[Old position]]</f>
        <v>1456</v>
      </c>
      <c r="G35" s="34">
        <f>ROUND(Table132[[#This Row],[Target allocation ($)]]/(IF(G80&gt;0, G60,E60)*C24)*100,3)</f>
        <v>0.998</v>
      </c>
      <c r="H35" s="39">
        <f>Table132[[#This Row],[New position]]*Table132[[#This Row],[Last_Price]]</f>
        <v>1999238.4000000001</v>
      </c>
      <c r="I35" s="105"/>
      <c r="J35" s="95" t="s">
        <v>73</v>
      </c>
      <c r="K35" s="95">
        <v>205.93</v>
      </c>
      <c r="L35"/>
      <c r="M35"/>
      <c r="N35"/>
      <c r="O35"/>
      <c r="P35"/>
      <c r="Q35"/>
    </row>
    <row r="36" spans="1:17" x14ac:dyDescent="0.25">
      <c r="A36" s="44" t="s">
        <v>84</v>
      </c>
      <c r="B36" s="34" t="s">
        <v>14</v>
      </c>
      <c r="C36" s="46">
        <v>47.37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0.75600000000000001</v>
      </c>
      <c r="H36" s="39">
        <f>Table132[[#This Row],[New position]]*Table132[[#This Row],[Last_Price]]</f>
        <v>1514324.16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241.554469273743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0.108</v>
      </c>
      <c r="H37" s="39">
        <f>Table132[[#This Row],[New position]]*Table132[[#This Row],[Last_Price]]</f>
        <v>217399.0223463687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37.161125319693099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0.28399999999999997</v>
      </c>
      <c r="H38" s="39">
        <f>Table132[[#This Row],[New position]]*Table132[[#This Row],[Last_Price]]</f>
        <v>568565.21739130444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9.4629156010230204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0.104</v>
      </c>
      <c r="H39" s="39">
        <f>Table132[[#This Row],[New position]]*Table132[[#This Row],[Last_Price]]</f>
        <v>208184.14322250645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13.337595907928399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0.104</v>
      </c>
      <c r="H40" s="39">
        <f>Table132[[#This Row],[New position]]*Table132[[#This Row],[Last_Price]]</f>
        <v>208066.49616368304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0.796675191815857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0.66900000000000004</v>
      </c>
      <c r="H41" s="39">
        <f>Table132[[#This Row],[New position]]*Table132[[#This Row],[Last_Price]]</f>
        <v>1341601.0230179031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2.2480818414322199</v>
      </c>
      <c r="D42" s="34">
        <v>1902000</v>
      </c>
      <c r="E42" s="34">
        <v>1902000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2.1339999999999999</v>
      </c>
      <c r="H42" s="39">
        <f>Table132[[#This Row],[New position]]*Table132[[#This Row],[Last_Price]]</f>
        <v>4275851.6624040818</v>
      </c>
      <c r="I42" s="59"/>
      <c r="J42" s="95"/>
      <c r="K42" s="95"/>
      <c r="L42"/>
      <c r="M42"/>
      <c r="N42"/>
      <c r="O42"/>
      <c r="P42"/>
      <c r="Q42"/>
    </row>
    <row r="43" spans="1:17" x14ac:dyDescent="0.25">
      <c r="A43" s="34" t="s">
        <v>68</v>
      </c>
      <c r="B43" s="34" t="s">
        <v>14</v>
      </c>
      <c r="C43" s="94">
        <v>42.8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5.117</v>
      </c>
      <c r="H43" s="39">
        <f>Table132[[#This Row],[New position]]*Table132[[#This Row],[Last_Price]]</f>
        <v>10254537.6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53</v>
      </c>
      <c r="B44" s="34" t="s">
        <v>14</v>
      </c>
      <c r="C44" s="46">
        <v>87.46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7.1999999999999995E-2</v>
      </c>
      <c r="H44" s="39">
        <f>Table132[[#This Row],[New position]]*Table132[[#This Row],[Last_Price]]</f>
        <v>144309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55</v>
      </c>
      <c r="B45" s="34" t="s">
        <v>14</v>
      </c>
      <c r="C45" s="46">
        <v>23.84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0.156</v>
      </c>
      <c r="H45" s="39">
        <f>Table132[[#This Row],[New position]]*Table132[[#This Row],[Last_Price]]</f>
        <v>313519.84000000003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54</v>
      </c>
      <c r="B46" s="44" t="s">
        <v>14</v>
      </c>
      <c r="C46" s="46">
        <v>69.27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0.749</v>
      </c>
      <c r="H46" s="39">
        <f>Table132[[#This Row],[New position]]*Table132[[#This Row],[Last_Price]]</f>
        <v>1501635.0599999998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63</v>
      </c>
      <c r="B47" s="44" t="s">
        <v>14</v>
      </c>
      <c r="C47" s="46">
        <v>32.11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5.3999999999999999E-2</v>
      </c>
      <c r="H47" s="39">
        <f>Table132[[#This Row],[New position]]*Table132[[#This Row],[Last_Price]]</f>
        <v>109174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64</v>
      </c>
      <c r="B48" s="34" t="s">
        <v>14</v>
      </c>
      <c r="C48" s="46">
        <v>103.22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9.7430000000000003</v>
      </c>
      <c r="H48" s="39">
        <f>Table132[[#This Row],[New position]]*Table132[[#This Row],[Last_Price]]</f>
        <v>19523340.460000001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443.4</v>
      </c>
      <c r="D49" s="34">
        <v>50528</v>
      </c>
      <c r="E49" s="34">
        <v>50528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11.18</v>
      </c>
      <c r="H49" s="39">
        <f>Table132[[#This Row],[New position]]*Table132[[#This Row],[Last_Price]]</f>
        <v>22404115.199999999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48.03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0.443</v>
      </c>
      <c r="H50" s="39">
        <f>Table132[[#This Row],[New position]]*Table132[[#This Row],[Last_Price]]</f>
        <v>888555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80.349999999999994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1.456</v>
      </c>
      <c r="H51" s="39">
        <f>Table132[[#This Row],[New position]]*Table132[[#This Row],[Last_Price]]</f>
        <v>2917669.1999999997</v>
      </c>
      <c r="I51" s="26"/>
      <c r="J51" s="97"/>
      <c r="K51" s="97"/>
      <c r="L51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72.430000000000007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1.3859999999999999</v>
      </c>
      <c r="H52" s="39">
        <f>Table132[[#This Row],[New position]]*Table132[[#This Row],[Last_Price]]</f>
        <v>2777690.5000000005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94.93</v>
      </c>
      <c r="D53" s="34">
        <v>56062</v>
      </c>
      <c r="E53" s="34">
        <v>61325</v>
      </c>
      <c r="F53" s="33">
        <f>Table132[[#This Row],[New position]]-Table132[[#This Row],[Old position]]</f>
        <v>5263</v>
      </c>
      <c r="G53" s="34">
        <f>ROUND(Table132[[#This Row],[Target allocation ($)]]/(IF(G80&gt;0, G60,E60)*C24)*100,3)</f>
        <v>2.9049999999999998</v>
      </c>
      <c r="H53" s="39">
        <f>Table132[[#This Row],[New position]]*Table132[[#This Row],[Last_Price]]</f>
        <v>5821582.25</v>
      </c>
      <c r="I53" s="26"/>
      <c r="J53" s="95" t="s">
        <v>73</v>
      </c>
      <c r="K53" s="97">
        <v>94.45</v>
      </c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108.69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1.45</v>
      </c>
      <c r="H54" s="39">
        <f>Table132[[#This Row],[New position]]*Table132[[#This Row],[Last_Price]]</f>
        <v>2904740.25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36.4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1.423</v>
      </c>
      <c r="H55" s="39">
        <f>Table132[[#This Row],[New position]]*Table132[[#This Row],[Last_Price]]</f>
        <v>2850993.6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67</v>
      </c>
      <c r="B56" s="44" t="s">
        <v>14</v>
      </c>
      <c r="C56" s="46">
        <v>47.39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0.497</v>
      </c>
      <c r="H56" s="39">
        <f>Table132[[#This Row],[New position]]*Table132[[#This Row],[Last_Price]]</f>
        <v>995806.07000000007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199.87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3.8439999999999999</v>
      </c>
      <c r="H57" s="39">
        <f>Table132[[#This Row],[New position]]*Table132[[#This Row],[Last_Price]]</f>
        <v>7703789.2800000003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3.9999999999999996</v>
      </c>
      <c r="F60" s="31"/>
      <c r="G60" s="34">
        <v>4</v>
      </c>
      <c r="H60" s="46"/>
      <c r="I60" s="48"/>
      <c r="J60" s="101" t="s">
        <v>76</v>
      </c>
      <c r="K60" s="82" t="s">
        <v>77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27"/>
      <c r="J61" s="68" t="s">
        <v>78</v>
      </c>
      <c r="K61" s="104">
        <f>1-SUM(K62:K63)</f>
        <v>0.55894982473455745</v>
      </c>
      <c r="L61"/>
      <c r="M61"/>
      <c r="N61"/>
      <c r="O61"/>
      <c r="P61"/>
      <c r="Q61"/>
    </row>
    <row r="62" spans="1:17" ht="15" customHeight="1" x14ac:dyDescent="0.25">
      <c r="A62" s="44" t="s">
        <v>58</v>
      </c>
      <c r="B62" s="44"/>
      <c r="C62" s="45"/>
      <c r="D62" s="47" t="str">
        <f>Table132[[#This Row],[Symbol]]</f>
        <v>Healthcare</v>
      </c>
      <c r="E62" s="34">
        <f>ROUND(SUM(G28:G28)/100, 3)</f>
        <v>2.9000000000000001E-2</v>
      </c>
      <c r="F62" s="47" t="str">
        <f>Table132[[#This Row],[Symbol]]</f>
        <v>Healthcare</v>
      </c>
      <c r="G62" s="34">
        <f>SUM(H28:H28)/(G60*C24)</f>
        <v>2.9456739801662787E-2</v>
      </c>
      <c r="H62" s="46"/>
      <c r="I62" s="27"/>
      <c r="J62" s="68" t="s">
        <v>79</v>
      </c>
      <c r="K62" s="102">
        <f>(SUM(H37:H48)+H32)/C25</f>
        <v>0.38597770716110591</v>
      </c>
      <c r="L62"/>
      <c r="M62"/>
      <c r="N62"/>
      <c r="O62"/>
      <c r="P62"/>
      <c r="Q62"/>
    </row>
    <row r="63" spans="1:17" ht="15" customHeight="1" x14ac:dyDescent="0.25">
      <c r="A63" s="110" t="s">
        <v>93</v>
      </c>
      <c r="B63" s="110"/>
      <c r="C63" s="111"/>
      <c r="D63" s="47" t="str">
        <f>Table132[[#This Row],[Symbol]]</f>
        <v>Financials</v>
      </c>
      <c r="E63" s="34">
        <f>ROUND(SUM(G29:G29)/100, 3)</f>
        <v>0.01</v>
      </c>
      <c r="F63" s="47" t="str">
        <f>Table132[[#This Row],[Symbol]]</f>
        <v>Financials</v>
      </c>
      <c r="G63" s="51">
        <f>SUM(H29:H29)/(G60*C24)</f>
        <v>9.9802759829402642E-3</v>
      </c>
      <c r="H63" s="46"/>
      <c r="I63" s="112"/>
      <c r="J63" s="68" t="s">
        <v>80</v>
      </c>
      <c r="K63" s="103">
        <f>(H57+H50)/C25</f>
        <v>5.5072468104336671E-2</v>
      </c>
      <c r="L63"/>
      <c r="M63"/>
      <c r="N63"/>
      <c r="O63"/>
      <c r="P63"/>
      <c r="Q63"/>
    </row>
    <row r="64" spans="1:17" ht="15" customHeight="1" x14ac:dyDescent="0.25">
      <c r="A64" s="110" t="s">
        <v>94</v>
      </c>
      <c r="B64" s="110"/>
      <c r="C64" s="111"/>
      <c r="D64" s="47" t="str">
        <f>Table132[[#This Row],[Symbol]]</f>
        <v>Techs</v>
      </c>
      <c r="E64" s="51">
        <f>ROUND(SUM(G30:G30)/100, 3)</f>
        <v>0.01</v>
      </c>
      <c r="F64" s="47" t="str">
        <f>Table132[[#This Row],[Symbol]]</f>
        <v>Techs</v>
      </c>
      <c r="G64" s="34">
        <f>SUM(H30:H30)/(G60*C24)</f>
        <v>9.9332267948178867E-3</v>
      </c>
      <c r="H64" s="46"/>
      <c r="I64" s="112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0.254</v>
      </c>
      <c r="F65" s="47" t="str">
        <f>Table132[[#This Row],[Symbol]]</f>
        <v>Semiconductor</v>
      </c>
      <c r="G65" s="51">
        <f>SUM(H31:H33)/(G60*C24)</f>
        <v>0.25377723749346137</v>
      </c>
      <c r="H65" s="46"/>
      <c r="I65" s="52"/>
      <c r="K65" s="84"/>
      <c r="L65"/>
      <c r="M65"/>
      <c r="N65"/>
      <c r="O65"/>
      <c r="P65"/>
      <c r="Q65"/>
    </row>
    <row r="66" spans="1:17" ht="15.75" customHeight="1" x14ac:dyDescent="0.25">
      <c r="A66" s="44" t="s">
        <v>51</v>
      </c>
      <c r="B66" s="44"/>
      <c r="C66" s="45"/>
      <c r="D66" s="47" t="str">
        <f>Table132[[#This Row],[Symbol]]</f>
        <v>Small Cap</v>
      </c>
      <c r="E66" s="51">
        <f>ROUND(SUM(G34:G36)/100, 3)</f>
        <v>3.6999999999999998E-2</v>
      </c>
      <c r="F66" s="47" t="str">
        <f>Table132[[#This Row],[Symbol]]</f>
        <v>Small Cap</v>
      </c>
      <c r="G66" s="51">
        <f>SUM(H34:H36)/(G60*C24)</f>
        <v>3.6623164803510154E-2</v>
      </c>
      <c r="H66" s="46"/>
      <c r="I66" s="52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52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8.6999999999999994E-2</v>
      </c>
      <c r="F69" s="47" t="str">
        <f>Table132[[#This Row],[Symbol]]</f>
        <v>Int Stocks</v>
      </c>
      <c r="G69" s="34">
        <f>SUM(H37:H45)/(G60*C24)</f>
        <v>8.7488143835268831E-2</v>
      </c>
      <c r="H69" s="46"/>
      <c r="I69" s="27" t="s">
        <v>81</v>
      </c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65</v>
      </c>
      <c r="B70" s="44"/>
      <c r="C70" s="45"/>
      <c r="D70" s="47" t="str">
        <f>Table132[[#This Row],[Symbol]]</f>
        <v>JP Stocks</v>
      </c>
      <c r="E70" s="34">
        <f>ROUND(SUM(G46:G48)/100, 3)</f>
        <v>0.105</v>
      </c>
      <c r="F70" s="47" t="str">
        <f>Table132[[#This Row],[Symbol]]</f>
        <v>JP Stocks</v>
      </c>
      <c r="G70" s="51">
        <f>SUM(H46:H48)/(G60*C24)</f>
        <v>0.10546337707093296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74</v>
      </c>
      <c r="B71" s="44"/>
      <c r="C71" s="45"/>
      <c r="D71" s="47" t="str">
        <f>Table132[[#This Row],[Symbol]]</f>
        <v>Nasdaq</v>
      </c>
      <c r="E71" s="51">
        <f>ROUND(SUM(G49)/100, 3)</f>
        <v>0.112</v>
      </c>
      <c r="F71" s="47" t="str">
        <f>Table132[[#This Row],[Symbol]]</f>
        <v>Nasdaq</v>
      </c>
      <c r="G71" s="51">
        <f>SUM(H49)/(G60*C24)</f>
        <v>0.11180074443223778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52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56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9.0999999999999998E-2</v>
      </c>
      <c r="F74" s="47" t="str">
        <f>Table132[[#This Row],[Symbol]]</f>
        <v>Bonds</v>
      </c>
      <c r="G74" s="51">
        <f>(SUM(H51:H56))/(G60*C24)</f>
        <v>9.1163157057540897E-2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60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3.7999999999999999E-2</v>
      </c>
      <c r="F76" s="47" t="str">
        <f>Table132[[#This Row],[Symbol]]</f>
        <v>Gold</v>
      </c>
      <c r="G76" s="51">
        <f>SUM(H57)/(G60*C24)</f>
        <v>3.8443355997968318E-2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4.4340564035747791E-3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0.22300000000000009</v>
      </c>
      <c r="F79" s="47" t="str">
        <f>Table132[[#This Row],[Symbol]]</f>
        <v>Cash</v>
      </c>
      <c r="G79" s="34">
        <f>1-SUM(G61:G78)</f>
        <v>0.22143652032608407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11171924.022000004</v>
      </c>
      <c r="F80" s="31"/>
      <c r="G80" s="34">
        <f>C24*G79</f>
        <v>11093596.326363543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2024-03-14T02:33:57Z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