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237" documentId="14_{A48F4B07-3EF3-43E5-91B2-4CA340E6013A}" xr6:coauthVersionLast="47" xr6:coauthVersionMax="47" xr10:uidLastSave="{CA843CA3-ED99-431C-8C5B-66833FB04F2A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G30" i="3" l="1"/>
  <c r="E64" i="3" s="1"/>
  <c r="G29" i="3"/>
  <c r="E63" i="3" s="1"/>
  <c r="G28" i="3"/>
  <c r="E62" i="3" s="1"/>
  <c r="G32" i="3"/>
  <c r="G33" i="3"/>
  <c r="E60" i="3"/>
  <c r="G36" i="3"/>
  <c r="G34" i="3"/>
  <c r="G35" i="3"/>
  <c r="G50" i="3"/>
  <c r="E77" i="3" s="1"/>
  <c r="G49" i="3"/>
  <c r="E71" i="3" s="1"/>
  <c r="G48" i="3"/>
  <c r="G31" i="3"/>
  <c r="G46" i="3"/>
  <c r="G47" i="3"/>
  <c r="G51" i="3"/>
  <c r="G37" i="3"/>
  <c r="G55" i="3"/>
  <c r="G41" i="3"/>
  <c r="G53" i="3"/>
  <c r="G38" i="3"/>
  <c r="G54" i="3"/>
  <c r="G52" i="3"/>
  <c r="G44" i="3"/>
  <c r="E65" i="3" l="1"/>
  <c r="E66" i="3"/>
  <c r="G40" i="3"/>
  <c r="G57" i="3"/>
  <c r="E76" i="3" s="1"/>
  <c r="G56" i="3"/>
  <c r="E74" i="3" s="1"/>
  <c r="G39" i="3"/>
  <c r="G43" i="3"/>
  <c r="G45" i="3"/>
  <c r="G42" i="3"/>
  <c r="E70" i="3"/>
  <c r="E69" i="3" l="1"/>
  <c r="E79" i="3" s="1"/>
  <c r="E80" i="3" s="1"/>
</calcChain>
</file>

<file path=xl/sharedStrings.xml><?xml version="1.0" encoding="utf-8"?>
<sst xmlns="http://schemas.openxmlformats.org/spreadsheetml/2006/main" count="133" uniqueCount="97">
  <si>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</si>
  <si>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</si>
  <si>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</si>
  <si>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</si>
  <si>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</si>
  <si>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</si>
  <si>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</si>
  <si>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</si>
  <si>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</si>
  <si>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</si>
  <si>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</si>
  <si>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</si>
  <si>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</si>
  <si>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</si>
  <si>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</si>
  <si>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</si>
  <si>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</si>
  <si>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</si>
  <si>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</si>
  <si>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</si>
  <si>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</si>
  <si>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</si>
  <si>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</si>
  <si>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</si>
  <si>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</si>
  <si>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</si>
  <si>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</si>
  <si>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</si>
  <si>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</si>
  <si>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</si>
  <si>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</si>
  <si>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</si>
  <si>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</si>
  <si>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</si>
  <si>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</si>
  <si>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</si>
  <si>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</si>
  <si>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</si>
  <si>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</si>
  <si>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</si>
  <si>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</si>
  <si>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</si>
  <si>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</si>
  <si>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</si>
  <si>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</si>
  <si>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</si>
  <si>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</si>
  <si>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</si>
  <si>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</si>
  <si>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</si>
  <si>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</si>
  <si>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Small Cap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</si>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</sst>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Small Cap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0.03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0.26400000000000001</c:v>
                </c:pt>
                <c:pt idx="5">
                  <c:v>0.04</c:v>
                </c:pt>
                <c:pt idx="6">
                  <c:v>0</c:v>
                </c:pt>
                <c:pt idx="7">
                  <c:v>0</c:v>
                </c:pt>
                <c:pt idx="8">
                  <c:v>8.8999999999999996E-2</c:v>
                </c:pt>
                <c:pt idx="9">
                  <c:v>0.107</c:v>
                </c:pt>
                <c:pt idx="10">
                  <c:v>0.113</c:v>
                </c:pt>
                <c:pt idx="11">
                  <c:v>0</c:v>
                </c:pt>
                <c:pt idx="12">
                  <c:v>0</c:v>
                </c:pt>
                <c:pt idx="13">
                  <c:v>9.4E-2</c:v>
                </c:pt>
                <c:pt idx="14">
                  <c:v>0</c:v>
                </c:pt>
                <c:pt idx="15">
                  <c:v>3.9E-2</c:v>
                </c:pt>
                <c:pt idx="16">
                  <c:v>4.0000000000000001E-3</c:v>
                </c:pt>
                <c:pt idx="17">
                  <c:v>0</c:v>
                </c:pt>
                <c:pt idx="18">
                  <c:v>0.19000000000000006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0.56888079265914404</c:v>
                </c:pt>
                <c:pt idx="1">
                  <c:v>0.37728392311618514</c:v>
                </c:pt>
                <c:pt idx="2">
                  <c:v>5.3835284224670821E-2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topLeftCell="A25" zoomScale="120" zoomScaleNormal="120" workbookViewId="0">
      <selection activeCell="I37" sqref="I37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45365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3.2408713489472194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85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57</v>
      </c>
      <c r="B4" s="57"/>
      <c r="C4" s="15">
        <f>SUM(H28:H28)/C24</f>
        <v>0.11961826440027375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95</v>
      </c>
      <c r="B5" s="57"/>
      <c r="C5" s="15">
        <f>SUM(H29:H29)/C24</f>
        <v>6.1424672664764708E-2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96</v>
      </c>
      <c r="B6" s="57"/>
      <c r="C6" s="15">
        <f>SUM(H30:H30)/C24</f>
        <v>6.0538438295905793E-2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1.0557169740010242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89</v>
      </c>
      <c r="B8" s="110"/>
      <c r="C8" s="15">
        <f>SUM(H34:H36)/C24</f>
        <v>0.15837000789847691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86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87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0.35596585380178419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66</v>
      </c>
      <c r="B12" s="110"/>
      <c r="C12" s="15">
        <f>SUM(H46:H48)/C24</f>
        <v>0.42617737906232017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75</v>
      </c>
      <c r="B13" s="110"/>
      <c r="C13" s="15">
        <f>SUM(H49)/C24</f>
        <v>0.45356406519990172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88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59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0.37502246341660128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61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0.15714225442120686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49284299.43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49284299.43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159724073.97562277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69</v>
      </c>
      <c r="K27" s="93" t="s">
        <v>70</v>
      </c>
    </row>
    <row r="28" spans="1:17" x14ac:dyDescent="0.25">
      <c r="A28" s="44" t="s">
        <v>72</v>
      </c>
      <c r="B28" s="34" t="s">
        <v>14</v>
      </c>
      <c r="C28" s="94">
        <v>146.81</v>
      </c>
      <c r="D28" s="34">
        <v>40156</v>
      </c>
      <c r="E28" s="34">
        <v>40156</v>
      </c>
      <c r="F28" s="33">
        <f>Table132[[#This Row],[New position]]-Table132[[#This Row],[Old position]]</f>
        <v>0</v>
      </c>
      <c r="G28" s="34">
        <f>ROUND(Table132[[#This Row],[Target allocation ($)]]/(IF(G80&gt;0, G60,E60)*C24)*100,3)</f>
        <v>2.99</v>
      </c>
      <c r="H28" s="39">
        <f>Table132[[#This Row],[New position]]*Table132[[#This Row],[Last_Price]]</f>
        <v>5895302.3600000003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91</v>
      </c>
      <c r="B29" s="44" t="s">
        <v>14</v>
      </c>
      <c r="C29" s="94">
        <v>41.56</v>
      </c>
      <c r="D29" s="34">
        <v>48780</v>
      </c>
      <c r="E29" s="34">
        <v>72841</v>
      </c>
      <c r="F29" s="33">
        <f>Table132[[#This Row],[New position]]-Table132[[#This Row],[Old position]]</f>
        <v>24061</v>
      </c>
      <c r="G29" s="34">
        <f>ROUND(Table132[[#This Row],[Target allocation ($)]]/(IF(G80&gt;0, G60,E60)*C24)*100,3)</f>
        <v>1.536</v>
      </c>
      <c r="H29" s="39">
        <f>Table132[[#This Row],[New position]]*Table132[[#This Row],[Last_Price]]</f>
        <v>3027271.96</v>
      </c>
      <c r="I29" s="106"/>
      <c r="J29" s="95" t="s">
        <v>73</v>
      </c>
      <c r="K29" s="95">
        <v>40.83</v>
      </c>
      <c r="L29"/>
      <c r="M29"/>
      <c r="N29"/>
      <c r="O29"/>
      <c r="P29"/>
      <c r="Q29"/>
    </row>
    <row r="30" spans="1:17" x14ac:dyDescent="0.25">
      <c r="A30" s="34" t="s">
        <v>92</v>
      </c>
      <c r="B30" s="34" t="s">
        <v>14</v>
      </c>
      <c r="C30" s="94">
        <v>210.29</v>
      </c>
      <c r="D30" s="34">
        <v>9433</v>
      </c>
      <c r="E30" s="34">
        <v>14188</v>
      </c>
      <c r="F30" s="33">
        <f>Table132[[#This Row],[New position]]-Table132[[#This Row],[Old position]]</f>
        <v>4755</v>
      </c>
      <c r="G30" s="34">
        <f>ROUND(Table132[[#This Row],[Target allocation ($)]]/(IF(G80&gt;0, G60,E60)*C24)*100,3)</f>
        <v>1.5129999999999999</v>
      </c>
      <c r="H30" s="39">
        <f>Table132[[#This Row],[New position]]*Table132[[#This Row],[Last_Price]]</f>
        <v>2983594.52</v>
      </c>
      <c r="I30" s="106"/>
      <c r="J30" s="95" t="s">
        <v>73</v>
      </c>
      <c r="K30" s="95">
        <v>208.92</v>
      </c>
      <c r="L30"/>
      <c r="M30"/>
      <c r="N30"/>
      <c r="O30"/>
      <c r="P30"/>
      <c r="Q30"/>
    </row>
    <row r="31" spans="1:17" x14ac:dyDescent="0.25">
      <c r="A31" s="44" t="s">
        <v>71</v>
      </c>
      <c r="B31" s="44" t="s">
        <v>14</v>
      </c>
      <c r="C31" s="94">
        <v>224.5</v>
      </c>
      <c r="D31" s="34">
        <v>114972</v>
      </c>
      <c r="E31" s="34">
        <v>119426</v>
      </c>
      <c r="F31" s="33">
        <f>Table132[[#This Row],[New position]]-Table132[[#This Row],[Old position]]</f>
        <v>4454</v>
      </c>
      <c r="G31" s="34">
        <f>ROUND(Table132[[#This Row],[Target allocation ($)]]/(IF(G80&gt;0, G60,E60)*C24)*100,3)</f>
        <v>13.6</v>
      </c>
      <c r="H31" s="39">
        <f>Table132[[#This Row],[New position]]*Table132[[#This Row],[Last_Price]]</f>
        <v>26811137</v>
      </c>
      <c r="I31" s="27"/>
      <c r="J31" s="95" t="s">
        <v>73</v>
      </c>
      <c r="K31" s="95">
        <v>219.91</v>
      </c>
      <c r="L31"/>
      <c r="M31"/>
      <c r="N31"/>
      <c r="O31"/>
      <c r="P31"/>
      <c r="Q31"/>
    </row>
    <row r="32" spans="1:17" x14ac:dyDescent="0.25">
      <c r="A32" s="34" t="s">
        <v>62</v>
      </c>
      <c r="B32" s="34" t="s">
        <v>14</v>
      </c>
      <c r="C32" s="94">
        <v>67.72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11.015000000000001</v>
      </c>
      <c r="H32" s="39">
        <f>Table132[[#This Row],[New position]]*Table132[[#This Row],[Last_Price]]</f>
        <v>21713943.960000001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90</v>
      </c>
      <c r="B33" s="44" t="s">
        <v>14</v>
      </c>
      <c r="C33" s="94">
        <v>905.5</v>
      </c>
      <c r="D33" s="34">
        <v>3319</v>
      </c>
      <c r="E33" s="34">
        <v>3871</v>
      </c>
      <c r="F33" s="33">
        <f>Table132[[#This Row],[New position]]-Table132[[#This Row],[Old position]]</f>
        <v>552</v>
      </c>
      <c r="G33" s="34">
        <f>ROUND(Table132[[#This Row],[Target allocation ($)]]/(IF(G80&gt;0, G60,E60)*C24)*100,3)</f>
        <v>1.778</v>
      </c>
      <c r="H33" s="39">
        <f>Table132[[#This Row],[New position]]*Table132[[#This Row],[Last_Price]]</f>
        <v>3505190.5</v>
      </c>
      <c r="I33" s="105"/>
      <c r="J33" s="95" t="s">
        <v>73</v>
      </c>
      <c r="K33" s="95">
        <v>881.11</v>
      </c>
      <c r="L33"/>
      <c r="M33"/>
      <c r="N33"/>
      <c r="O33"/>
      <c r="P33"/>
      <c r="Q33"/>
    </row>
    <row r="34" spans="1:17" x14ac:dyDescent="0.25">
      <c r="A34" s="44" t="s">
        <v>82</v>
      </c>
      <c r="B34" s="34" t="s">
        <v>14</v>
      </c>
      <c r="C34" s="94">
        <v>56.15</v>
      </c>
      <c r="D34" s="34">
        <v>68853</v>
      </c>
      <c r="E34" s="34">
        <v>73305</v>
      </c>
      <c r="F34" s="33">
        <f>Table132[[#This Row],[New position]]-Table132[[#This Row],[Old position]]</f>
        <v>4452</v>
      </c>
      <c r="G34" s="34">
        <f>ROUND(Table132[[#This Row],[Target allocation ($)]]/(IF(G80&gt;0, G60,E60)*C24)*100,3)</f>
        <v>2.0880000000000001</v>
      </c>
      <c r="H34" s="39">
        <f>Table132[[#This Row],[New position]]*Table132[[#This Row],[Last_Price]]</f>
        <v>4116075.75</v>
      </c>
      <c r="I34" s="105"/>
      <c r="J34" s="95" t="s">
        <v>73</v>
      </c>
      <c r="K34" s="95">
        <v>55.78</v>
      </c>
      <c r="L34"/>
      <c r="M34"/>
      <c r="N34"/>
      <c r="O34"/>
      <c r="P34"/>
      <c r="Q34"/>
    </row>
    <row r="35" spans="1:17" x14ac:dyDescent="0.25">
      <c r="A35" s="44" t="s">
        <v>83</v>
      </c>
      <c r="B35" s="44" t="s">
        <v>14</v>
      </c>
      <c r="C35" s="94">
        <v>206.39</v>
      </c>
      <c r="D35" s="34">
        <v>9760</v>
      </c>
      <c r="E35" s="34">
        <v>10486</v>
      </c>
      <c r="F35" s="33">
        <f>Table132[[#This Row],[New position]]-Table132[[#This Row],[Old position]]</f>
        <v>726</v>
      </c>
      <c r="G35" s="34">
        <f>ROUND(Table132[[#This Row],[Target allocation ($)]]/(IF(G80&gt;0, G60,E60)*C24)*100,3)</f>
        <v>1.0980000000000001</v>
      </c>
      <c r="H35" s="39">
        <f>Table132[[#This Row],[New position]]*Table132[[#This Row],[Last_Price]]</f>
        <v>2164205.54</v>
      </c>
      <c r="I35" s="105"/>
      <c r="J35" s="95" t="s">
        <v>73</v>
      </c>
      <c r="K35" s="95">
        <v>202.18</v>
      </c>
      <c r="L35"/>
      <c r="M35"/>
      <c r="N35"/>
      <c r="O35"/>
      <c r="P35"/>
      <c r="Q35"/>
    </row>
    <row r="36" spans="1:17" x14ac:dyDescent="0.25">
      <c r="A36" s="44" t="s">
        <v>84</v>
      </c>
      <c r="B36" s="34" t="s">
        <v>14</v>
      </c>
      <c r="C36" s="46">
        <v>47.7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0.77400000000000002</v>
      </c>
      <c r="H36" s="39">
        <f>Table132[[#This Row],[New position]]*Table132[[#This Row],[Last_Price]]</f>
        <v>1524873.6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239.776536312849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0.109</v>
      </c>
      <c r="H37" s="39">
        <f>Table132[[#This Row],[New position]]*Table132[[#This Row],[Last_Price]]</f>
        <v>215798.88268156411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36.956521739130402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0.28699999999999998</v>
      </c>
      <c r="H38" s="39">
        <f>Table132[[#This Row],[New position]]*Table132[[#This Row],[Last_Price]]</f>
        <v>565434.7826086951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9.3734015345268507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0.105</v>
      </c>
      <c r="H39" s="39">
        <f>Table132[[#This Row],[New position]]*Table132[[#This Row],[Last_Price]]</f>
        <v>206214.83375959072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13.2608695652174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0.105</v>
      </c>
      <c r="H40" s="39">
        <f>Table132[[#This Row],[New position]]*Table132[[#This Row],[Last_Price]]</f>
        <v>206869.56521739144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0.81329923273657301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0.69499999999999995</v>
      </c>
      <c r="H41" s="39">
        <f>Table132[[#This Row],[New position]]*Table132[[#This Row],[Last_Price]]</f>
        <v>1369595.907928389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2.2685421994884898</v>
      </c>
      <c r="D42" s="34">
        <v>1902000</v>
      </c>
      <c r="E42" s="34">
        <v>1902000</v>
      </c>
      <c r="F42" s="33">
        <f>Table132[[#This Row],[New position]]-Table132[[#This Row],[Old position]]</f>
        <v>0</v>
      </c>
      <c r="G42" s="34">
        <f>ROUND(Table132[[#This Row],[Target allocation ($)]]/(IF(G80&gt;0, G60,E60)*C24)*100,3)</f>
        <v>2.1890000000000001</v>
      </c>
      <c r="H42" s="39">
        <f>Table132[[#This Row],[New position]]*Table132[[#This Row],[Last_Price]]</f>
        <v>4314767.2634271076</v>
      </c>
      <c r="I42" s="59"/>
      <c r="J42" s="95"/>
      <c r="K42" s="95"/>
      <c r="L42"/>
      <c r="M42"/>
      <c r="N42"/>
      <c r="O42"/>
      <c r="P42"/>
      <c r="Q42"/>
    </row>
    <row r="43" spans="1:17" x14ac:dyDescent="0.25">
      <c r="A43" s="34" t="s">
        <v>68</v>
      </c>
      <c r="B43" s="34" t="s">
        <v>14</v>
      </c>
      <c r="C43" s="94">
        <v>42.6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5.1769999999999996</v>
      </c>
      <c r="H43" s="39">
        <f>Table132[[#This Row],[New position]]*Table132[[#This Row],[Last_Price]]</f>
        <v>10206619.200000001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53</v>
      </c>
      <c r="B44" s="34" t="s">
        <v>14</v>
      </c>
      <c r="C44" s="46">
        <v>88.1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7.3999999999999996E-2</v>
      </c>
      <c r="H44" s="39">
        <f>Table132[[#This Row],[New position]]*Table132[[#This Row],[Last_Price]]</f>
        <v>145365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55</v>
      </c>
      <c r="B45" s="34" t="s">
        <v>14</v>
      </c>
      <c r="C45" s="46">
        <v>23.79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0.159</v>
      </c>
      <c r="H45" s="39">
        <f>Table132[[#This Row],[New position]]*Table132[[#This Row],[Last_Price]]</f>
        <v>312862.28999999998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54</v>
      </c>
      <c r="B46" s="44" t="s">
        <v>14</v>
      </c>
      <c r="C46" s="46">
        <v>69.400000000000006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0.76300000000000001</v>
      </c>
      <c r="H46" s="39">
        <f>Table132[[#This Row],[New position]]*Table132[[#This Row],[Last_Price]]</f>
        <v>1504453.2000000002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63</v>
      </c>
      <c r="B47" s="44" t="s">
        <v>14</v>
      </c>
      <c r="C47" s="46">
        <v>31.9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5.5E-2</v>
      </c>
      <c r="H47" s="39">
        <f>Table132[[#This Row],[New position]]*Table132[[#This Row],[Last_Price]]</f>
        <v>108460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64</v>
      </c>
      <c r="B48" s="34" t="s">
        <v>14</v>
      </c>
      <c r="C48" s="46">
        <v>102.52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9.8360000000000003</v>
      </c>
      <c r="H48" s="39">
        <f>Table132[[#This Row],[New position]]*Table132[[#This Row],[Last_Price]]</f>
        <v>19390940.359999999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442.4</v>
      </c>
      <c r="D49" s="34">
        <v>50528</v>
      </c>
      <c r="E49" s="34">
        <v>50528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11.339</v>
      </c>
      <c r="H49" s="39">
        <f>Table132[[#This Row],[New position]]*Table132[[#This Row],[Last_Price]]</f>
        <v>22353587.199999999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46.17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0.433</v>
      </c>
      <c r="H50" s="39">
        <f>Table132[[#This Row],[New position]]*Table132[[#This Row],[Last_Price]]</f>
        <v>854145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80.25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1.478</v>
      </c>
      <c r="H51" s="39">
        <f>Table132[[#This Row],[New position]]*Table132[[#This Row],[Last_Price]]</f>
        <v>2914038</v>
      </c>
      <c r="I51" s="26"/>
      <c r="J51" s="97"/>
      <c r="K51" s="97"/>
      <c r="L51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72.61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1.413</v>
      </c>
      <c r="H52" s="39">
        <f>Table132[[#This Row],[New position]]*Table132[[#This Row],[Last_Price]]</f>
        <v>2784593.5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94.33</v>
      </c>
      <c r="D53" s="34">
        <v>61325</v>
      </c>
      <c r="E53" s="34">
        <v>63975</v>
      </c>
      <c r="F53" s="33">
        <f>Table132[[#This Row],[New position]]-Table132[[#This Row],[Old position]]</f>
        <v>2650</v>
      </c>
      <c r="G53" s="34">
        <f>ROUND(Table132[[#This Row],[Target allocation ($)]]/(IF(G80&gt;0, G60,E60)*C24)*100,3)</f>
        <v>3.0609999999999999</v>
      </c>
      <c r="H53" s="39">
        <f>Table132[[#This Row],[New position]]*Table132[[#This Row],[Last_Price]]</f>
        <v>6034761.75</v>
      </c>
      <c r="I53" s="26"/>
      <c r="J53" s="95" t="s">
        <v>73</v>
      </c>
      <c r="K53" s="97">
        <v>93.16</v>
      </c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108.58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1.472</v>
      </c>
      <c r="H54" s="39">
        <f>Table132[[#This Row],[New position]]*Table132[[#This Row],[Last_Price]]</f>
        <v>2901800.5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36.42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1.4470000000000001</v>
      </c>
      <c r="H55" s="39">
        <f>Table132[[#This Row],[New position]]*Table132[[#This Row],[Last_Price]]</f>
        <v>2852560.08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67</v>
      </c>
      <c r="B56" s="44" t="s">
        <v>14</v>
      </c>
      <c r="C56" s="46">
        <v>47.35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0.505</v>
      </c>
      <c r="H56" s="39">
        <f>Table132[[#This Row],[New position]]*Table132[[#This Row],[Last_Price]]</f>
        <v>994965.55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200.93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3.9289999999999998</v>
      </c>
      <c r="H57" s="39">
        <f>Table132[[#This Row],[New position]]*Table132[[#This Row],[Last_Price]]</f>
        <v>7744645.9199999999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4.0000000000000018</v>
      </c>
      <c r="F60" s="31"/>
      <c r="G60" s="34">
        <v>4</v>
      </c>
      <c r="H60" s="46"/>
      <c r="I60" s="48"/>
      <c r="J60" s="101" t="s">
        <v>76</v>
      </c>
      <c r="K60" s="82" t="s">
        <v>77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27"/>
      <c r="J61" s="68" t="s">
        <v>78</v>
      </c>
      <c r="K61" s="104">
        <f>1-SUM(K62:K63)</f>
        <v>0.56888079265914404</v>
      </c>
      <c r="L61"/>
      <c r="M61"/>
      <c r="N61"/>
      <c r="O61"/>
      <c r="P61"/>
      <c r="Q61"/>
    </row>
    <row r="62" spans="1:17" ht="15" customHeight="1" x14ac:dyDescent="0.25">
      <c r="A62" s="44" t="s">
        <v>58</v>
      </c>
      <c r="B62" s="44"/>
      <c r="C62" s="45"/>
      <c r="D62" s="47" t="str">
        <f>Table132[[#This Row],[Symbol]]</f>
        <v>Healthcare</v>
      </c>
      <c r="E62" s="34">
        <f>ROUND(SUM(G28:G28)/100, 3)</f>
        <v>0.03</v>
      </c>
      <c r="F62" s="47" t="str">
        <f>Table132[[#This Row],[Symbol]]</f>
        <v>Healthcare</v>
      </c>
      <c r="G62" s="34">
        <f>SUM(H28:H28)/(G60*C24)</f>
        <v>2.9904566100068437E-2</v>
      </c>
      <c r="H62" s="46"/>
      <c r="I62" s="27"/>
      <c r="J62" s="68" t="s">
        <v>79</v>
      </c>
      <c r="K62" s="102">
        <f>(SUM(H37:H48)+H32)/C25</f>
        <v>0.37728392311618514</v>
      </c>
      <c r="L62"/>
      <c r="M62"/>
      <c r="N62"/>
      <c r="O62"/>
      <c r="P62"/>
      <c r="Q62"/>
    </row>
    <row r="63" spans="1:17" ht="15" customHeight="1" x14ac:dyDescent="0.25">
      <c r="A63" s="44" t="s">
        <v>93</v>
      </c>
      <c r="B63" s="44"/>
      <c r="C63" s="45"/>
      <c r="D63" s="47" t="str">
        <f>Table132[[#This Row],[Symbol]]</f>
        <v>Financials</v>
      </c>
      <c r="E63" s="34">
        <f>ROUND(SUM(G29:G29)/100, 3)</f>
        <v>1.4999999999999999E-2</v>
      </c>
      <c r="F63" s="47" t="str">
        <f>Table132[[#This Row],[Symbol]]</f>
        <v>Financials</v>
      </c>
      <c r="G63" s="51">
        <f>SUM(H29:H29)/(G60*C24)</f>
        <v>1.5356168166191177E-2</v>
      </c>
      <c r="H63" s="46"/>
      <c r="I63" s="106"/>
      <c r="J63" s="68" t="s">
        <v>80</v>
      </c>
      <c r="K63" s="103">
        <f>(H57+H50)/C25</f>
        <v>5.3835284224670821E-2</v>
      </c>
      <c r="L63"/>
      <c r="M63"/>
      <c r="N63"/>
      <c r="O63"/>
      <c r="P63"/>
      <c r="Q63"/>
    </row>
    <row r="64" spans="1:17" ht="15" customHeight="1" x14ac:dyDescent="0.25">
      <c r="A64" s="44" t="s">
        <v>94</v>
      </c>
      <c r="B64" s="44"/>
      <c r="C64" s="45"/>
      <c r="D64" s="47" t="str">
        <f>Table132[[#This Row],[Symbol]]</f>
        <v>Techs</v>
      </c>
      <c r="E64" s="51">
        <f>ROUND(SUM(G30:G30)/100, 3)</f>
        <v>1.4999999999999999E-2</v>
      </c>
      <c r="F64" s="47" t="str">
        <f>Table132[[#This Row],[Symbol]]</f>
        <v>Techs</v>
      </c>
      <c r="G64" s="34">
        <f>SUM(H30:H30)/(G60*C24)</f>
        <v>1.5134609573976448E-2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0.26400000000000001</v>
      </c>
      <c r="F65" s="47" t="str">
        <f>Table132[[#This Row],[Symbol]]</f>
        <v>Semiconductor</v>
      </c>
      <c r="G65" s="51">
        <f>SUM(H31:H33)/(G60*C24)</f>
        <v>0.26392924350025604</v>
      </c>
      <c r="H65" s="46"/>
      <c r="I65" s="52"/>
      <c r="K65" s="84"/>
      <c r="L65"/>
      <c r="M65"/>
      <c r="N65"/>
      <c r="O65"/>
      <c r="P65"/>
      <c r="Q65"/>
    </row>
    <row r="66" spans="1:17" ht="15.75" customHeight="1" x14ac:dyDescent="0.25">
      <c r="A66" s="44" t="s">
        <v>51</v>
      </c>
      <c r="B66" s="44"/>
      <c r="C66" s="45"/>
      <c r="D66" s="47" t="str">
        <f>Table132[[#This Row],[Symbol]]</f>
        <v>Small Cap</v>
      </c>
      <c r="E66" s="51">
        <f>ROUND(SUM(G34:G36)/100, 3)</f>
        <v>0.04</v>
      </c>
      <c r="F66" s="47" t="str">
        <f>Table132[[#This Row],[Symbol]]</f>
        <v>Small Cap</v>
      </c>
      <c r="G66" s="51">
        <f>SUM(H34:H36)/(G60*C24)</f>
        <v>3.9592501974619228E-2</v>
      </c>
      <c r="H66" s="46"/>
      <c r="I66" s="52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52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8.8999999999999996E-2</v>
      </c>
      <c r="F69" s="47" t="str">
        <f>Table132[[#This Row],[Symbol]]</f>
        <v>Int Stocks</v>
      </c>
      <c r="G69" s="34">
        <f>SUM(H37:H45)/(G60*C24)</f>
        <v>8.8991463450446048E-2</v>
      </c>
      <c r="H69" s="46"/>
      <c r="I69" s="27" t="s">
        <v>81</v>
      </c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65</v>
      </c>
      <c r="B70" s="44"/>
      <c r="C70" s="45"/>
      <c r="D70" s="47" t="str">
        <f>Table132[[#This Row],[Symbol]]</f>
        <v>JP Stocks</v>
      </c>
      <c r="E70" s="34">
        <f>ROUND(SUM(G46:G48)/100, 3)</f>
        <v>0.107</v>
      </c>
      <c r="F70" s="47" t="str">
        <f>Table132[[#This Row],[Symbol]]</f>
        <v>JP Stocks</v>
      </c>
      <c r="G70" s="51">
        <f>SUM(H46:H48)/(G60*C24)</f>
        <v>0.10654434476558004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74</v>
      </c>
      <c r="B71" s="44"/>
      <c r="C71" s="45"/>
      <c r="D71" s="47" t="str">
        <f>Table132[[#This Row],[Symbol]]</f>
        <v>Nasdaq</v>
      </c>
      <c r="E71" s="51">
        <f>ROUND(SUM(G49)/100, 3)</f>
        <v>0.113</v>
      </c>
      <c r="F71" s="47" t="str">
        <f>Table132[[#This Row],[Symbol]]</f>
        <v>Nasdaq</v>
      </c>
      <c r="G71" s="51">
        <f>SUM(H49)/(G60*C24)</f>
        <v>0.11339101629997543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52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56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9.4E-2</v>
      </c>
      <c r="F74" s="47" t="str">
        <f>Table132[[#This Row],[Symbol]]</f>
        <v>Bonds</v>
      </c>
      <c r="G74" s="51">
        <f>(SUM(H51:H56))/(G60*C24)</f>
        <v>9.375561585415032E-2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60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3.9E-2</v>
      </c>
      <c r="F76" s="47" t="str">
        <f>Table132[[#This Row],[Symbol]]</f>
        <v>Gold</v>
      </c>
      <c r="G76" s="51">
        <f>SUM(H57)/(G60*C24)</f>
        <v>3.9285563605301714E-2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4.0000000000000001E-3</v>
      </c>
      <c r="F77" s="47" t="str">
        <f>Table132[[#This Row],[Symbol]]</f>
        <v>Commodities</v>
      </c>
      <c r="G77" s="34">
        <f>SUM(H50)/(G60*C24)</f>
        <v>4.3327439462397567E-3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0.19000000000000006</v>
      </c>
      <c r="F79" s="47" t="str">
        <f>Table132[[#This Row],[Symbol]]</f>
        <v>Cash</v>
      </c>
      <c r="G79" s="34">
        <f>1-SUM(G61:G78)</f>
        <v>0.18978216276319559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9364016.8917000033</v>
      </c>
      <c r="F80" s="31"/>
      <c r="G80" s="34">
        <f>C24*G79</f>
        <v>9353280.9360943269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2024-03-15T02:50:19Z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