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296" documentId="14_{A48F4B07-3EF3-43E5-91B2-4CA340E6013A}" xr6:coauthVersionLast="47" xr6:coauthVersionMax="47" xr10:uidLastSave="{CF5265DF-8608-424C-8D0C-54613923B3AF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K63" i="3" l="1"/>
  <c r="K62" i="3"/>
  <c r="F40" i="3"/>
  <c r="K61" i="3" l="1"/>
  <c r="F32" i="3"/>
  <c r="C24" i="3"/>
  <c r="C6" i="3" l="1"/>
  <c r="C5" i="3"/>
  <c r="C4" i="3"/>
  <c r="G64" i="3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G30" i="3" l="1"/>
  <c r="E64" i="3" s="1"/>
  <c r="G29" i="3"/>
  <c r="E63" i="3" s="1"/>
  <c r="G28" i="3"/>
  <c r="E62" i="3" s="1"/>
  <c r="G32" i="3"/>
  <c r="G33" i="3"/>
  <c r="E60" i="3"/>
  <c r="G36" i="3"/>
  <c r="G34" i="3"/>
  <c r="G35" i="3"/>
  <c r="G50" i="3"/>
  <c r="E77" i="3" s="1"/>
  <c r="G49" i="3"/>
  <c r="E71" i="3" s="1"/>
  <c r="G48" i="3"/>
  <c r="G31" i="3"/>
  <c r="G46" i="3"/>
  <c r="G47" i="3"/>
  <c r="G51" i="3"/>
  <c r="G37" i="3"/>
  <c r="G55" i="3"/>
  <c r="G41" i="3"/>
  <c r="G53" i="3"/>
  <c r="G38" i="3"/>
  <c r="G54" i="3"/>
  <c r="G52" i="3"/>
  <c r="G44" i="3"/>
  <c r="E65" i="3" l="1"/>
  <c r="E66" i="3"/>
  <c r="G40" i="3"/>
  <c r="G57" i="3"/>
  <c r="E76" i="3" s="1"/>
  <c r="G56" i="3"/>
  <c r="E74" i="3" s="1"/>
  <c r="G39" i="3"/>
  <c r="G43" i="3"/>
  <c r="G45" i="3"/>
  <c r="G42" i="3"/>
  <c r="E70" i="3"/>
  <c r="E69" i="3" l="1"/>
  <c r="E79" i="3" s="1"/>
  <c r="E80" i="3" s="1"/>
</calcChain>
</file>

<file path=xl/sharedStrings.xml><?xml version="1.0" encoding="utf-8"?>
<sst xmlns="http://schemas.openxmlformats.org/spreadsheetml/2006/main" count="132" uniqueCount="97">
  <si>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</si>
  <si>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</si>
  <si>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</si>
  <si>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</si>
  <si>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</si>
  <si>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</si>
  <si>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</si>
  <si>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</si>
  <si>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</si>
  <si>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</si>
  <si>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</si>
  <si>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</si>
  <si>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</si>
  <si>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</si>
  <si>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</si>
  <si>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</si>
  <si>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</si>
  <si>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</si>
  <si>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</si>
  <si>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</si>
  <si>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</si>
  <si>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</si>
  <si>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</si>
  <si>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</si>
  <si>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</si>
  <si>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</si>
  <si>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</si>
  <si>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</si>
  <si>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</si>
  <si>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</si>
  <si>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</si>
  <si>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</si>
  <si>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</si>
  <si>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</si>
  <si>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</si>
  <si>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</si>
  <si>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</si>
  <si>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</si>
  <si>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</si>
  <si>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</si>
  <si>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</si>
  <si>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</si>
  <si>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</si>
  <si>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</si>
  <si>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</si>
  <si>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</si>
  <si>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</si>
  <si>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</si>
  <si>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</si>
  <si>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</si>
  <si>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</si>
  <si>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Small Cap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</si>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</sst>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3EE-47E0-A0ED-765CA99AA17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Small Cap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0.03</c:v>
                </c:pt>
                <c:pt idx="2">
                  <c:v>2.5999999999999999E-2</c:v>
                </c:pt>
                <c:pt idx="3">
                  <c:v>2.5000000000000001E-2</c:v>
                </c:pt>
                <c:pt idx="4">
                  <c:v>0.28199999999999997</c:v>
                </c:pt>
                <c:pt idx="5">
                  <c:v>4.2999999999999997E-2</c:v>
                </c:pt>
                <c:pt idx="6">
                  <c:v>0</c:v>
                </c:pt>
                <c:pt idx="7">
                  <c:v>0</c:v>
                </c:pt>
                <c:pt idx="8">
                  <c:v>9.6000000000000002E-2</c:v>
                </c:pt>
                <c:pt idx="9">
                  <c:v>0.112</c:v>
                </c:pt>
                <c:pt idx="10">
                  <c:v>0.115</c:v>
                </c:pt>
                <c:pt idx="11">
                  <c:v>0</c:v>
                </c:pt>
                <c:pt idx="12">
                  <c:v>0</c:v>
                </c:pt>
                <c:pt idx="13">
                  <c:v>9.5000000000000001E-2</c:v>
                </c:pt>
                <c:pt idx="14">
                  <c:v>0</c:v>
                </c:pt>
                <c:pt idx="15">
                  <c:v>0.04</c:v>
                </c:pt>
                <c:pt idx="16">
                  <c:v>5.0000000000000001E-3</c:v>
                </c:pt>
                <c:pt idx="17">
                  <c:v>0</c:v>
                </c:pt>
                <c:pt idx="18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0.58302921318074874</c:v>
                </c:pt>
                <c:pt idx="1">
                  <c:v>0.36554682106751696</c:v>
                </c:pt>
                <c:pt idx="2">
                  <c:v>5.1423965751734302E-2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topLeftCell="A37" zoomScale="120" zoomScaleNormal="120" workbookViewId="0">
      <selection activeCell="I46" sqref="I46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45369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3.4759893571494449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85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57</v>
      </c>
      <c r="B4" s="57"/>
      <c r="C4" s="15">
        <f>SUM(H28:H28)/C24</f>
        <v>0.12128970007638647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95</v>
      </c>
      <c r="B5" s="57"/>
      <c r="C5" s="15">
        <f>SUM(H29:H29)/C24</f>
        <v>0.10295981263965735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96</v>
      </c>
      <c r="B6" s="57"/>
      <c r="C6" s="15">
        <f>SUM(H30:H30)/C24</f>
        <v>0.10179726071113358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1.1260403273431656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89</v>
      </c>
      <c r="B8" s="110"/>
      <c r="C8" s="15">
        <f>SUM(H34:H36)/C24</f>
        <v>0.17185923414814305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86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87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SUM(H37:H45)/C24</f>
        <v>0.38346433678215203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66</v>
      </c>
      <c r="B12" s="110"/>
      <c r="C12" s="15">
        <f>SUM(H46:H48)/C24</f>
        <v>0.44908098089630255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75</v>
      </c>
      <c r="B13" s="110"/>
      <c r="C13" s="15">
        <f>SUM(H49)/C24</f>
        <v>0.4593168446621862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88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59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0.38143170223487161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61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0.16025913486865881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48005890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48005890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166867962.72048697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69</v>
      </c>
      <c r="K27" s="93" t="s">
        <v>70</v>
      </c>
    </row>
    <row r="28" spans="1:17" x14ac:dyDescent="0.25">
      <c r="A28" s="44" t="s">
        <v>72</v>
      </c>
      <c r="B28" s="34" t="s">
        <v>14</v>
      </c>
      <c r="C28" s="94">
        <v>145</v>
      </c>
      <c r="D28" s="34">
        <v>40156</v>
      </c>
      <c r="E28" s="34">
        <v>40156</v>
      </c>
      <c r="F28" s="33">
        <f>Table132[[#This Row],[New position]]-Table132[[#This Row],[Old position]]</f>
        <v>0</v>
      </c>
      <c r="G28" s="34">
        <f>ROUND(Table132[[#This Row],[Target allocation ($)]]/(IF(G80&gt;0, G60,E60)*C24)*100,3)</f>
        <v>3.032</v>
      </c>
      <c r="H28" s="39">
        <f>Table132[[#This Row],[New position]]*Table132[[#This Row],[Last_Price]]</f>
        <v>5822620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91</v>
      </c>
      <c r="B29" s="44" t="s">
        <v>14</v>
      </c>
      <c r="C29" s="94">
        <v>40.64</v>
      </c>
      <c r="D29" s="34">
        <v>97231</v>
      </c>
      <c r="E29" s="34">
        <v>121621</v>
      </c>
      <c r="F29" s="33">
        <f>Table132[[#This Row],[New position]]-Table132[[#This Row],[Old position]]</f>
        <v>24390</v>
      </c>
      <c r="G29" s="34">
        <f>ROUND(Table132[[#This Row],[Target allocation ($)]]/(IF(G80&gt;0, G60,E60)*C24)*100,3)</f>
        <v>2.5739999999999998</v>
      </c>
      <c r="H29" s="39">
        <f>Table132[[#This Row],[New position]]*Table132[[#This Row],[Last_Price]]</f>
        <v>4942677.4400000004</v>
      </c>
      <c r="I29" s="106"/>
      <c r="J29" s="95" t="s">
        <v>73</v>
      </c>
      <c r="K29" s="95">
        <v>40.83</v>
      </c>
      <c r="L29"/>
      <c r="M29"/>
      <c r="N29"/>
      <c r="O29"/>
      <c r="P29"/>
      <c r="Q29"/>
    </row>
    <row r="30" spans="1:17" x14ac:dyDescent="0.25">
      <c r="A30" s="34" t="s">
        <v>92</v>
      </c>
      <c r="B30" s="34" t="s">
        <v>14</v>
      </c>
      <c r="C30" s="94">
        <v>206.11</v>
      </c>
      <c r="D30" s="34">
        <v>18949</v>
      </c>
      <c r="E30" s="34">
        <v>23710</v>
      </c>
      <c r="F30" s="33">
        <f>Table132[[#This Row],[New position]]-Table132[[#This Row],[Old position]]</f>
        <v>4761</v>
      </c>
      <c r="G30" s="34">
        <f>ROUND(Table132[[#This Row],[Target allocation ($)]]/(IF(G80&gt;0, G60,E60)*C24)*100,3)</f>
        <v>2.5449999999999999</v>
      </c>
      <c r="H30" s="39">
        <f>Table132[[#This Row],[New position]]*Table132[[#This Row],[Last_Price]]</f>
        <v>4886868.1000000006</v>
      </c>
      <c r="I30" s="106"/>
      <c r="J30" s="95" t="s">
        <v>73</v>
      </c>
      <c r="K30" s="95">
        <v>207.21</v>
      </c>
      <c r="L30"/>
      <c r="M30"/>
      <c r="N30"/>
      <c r="O30"/>
      <c r="P30"/>
      <c r="Q30"/>
    </row>
    <row r="31" spans="1:17" x14ac:dyDescent="0.25">
      <c r="A31" s="44" t="s">
        <v>71</v>
      </c>
      <c r="B31" s="44" t="s">
        <v>14</v>
      </c>
      <c r="C31" s="94">
        <v>221.97</v>
      </c>
      <c r="D31" s="34">
        <v>123971</v>
      </c>
      <c r="E31" s="34">
        <v>128476</v>
      </c>
      <c r="F31" s="33">
        <f>Table132[[#This Row],[New position]]-Table132[[#This Row],[Old position]]</f>
        <v>4505</v>
      </c>
      <c r="G31" s="34">
        <f>ROUND(Table132[[#This Row],[Target allocation ($)]]/(IF(G80&gt;0, G60,E60)*C24)*100,3)</f>
        <v>14.851000000000001</v>
      </c>
      <c r="H31" s="39">
        <f>Table132[[#This Row],[New position]]*Table132[[#This Row],[Last_Price]]</f>
        <v>28517817.719999999</v>
      </c>
      <c r="I31" s="27"/>
      <c r="J31" s="95" t="s">
        <v>73</v>
      </c>
      <c r="K31" s="95">
        <v>219.74</v>
      </c>
      <c r="L31"/>
      <c r="M31"/>
      <c r="N31"/>
      <c r="O31"/>
      <c r="P31"/>
      <c r="Q31"/>
    </row>
    <row r="32" spans="1:17" x14ac:dyDescent="0.25">
      <c r="A32" s="34" t="s">
        <v>62</v>
      </c>
      <c r="B32" s="34" t="s">
        <v>14</v>
      </c>
      <c r="C32" s="94">
        <v>65.59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10.952</v>
      </c>
      <c r="H32" s="39">
        <f>Table132[[#This Row],[New position]]*Table132[[#This Row],[Last_Price]]</f>
        <v>21030974.370000001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90</v>
      </c>
      <c r="B33" s="44" t="s">
        <v>14</v>
      </c>
      <c r="C33" s="94">
        <v>903</v>
      </c>
      <c r="D33" s="34">
        <v>4439</v>
      </c>
      <c r="E33" s="34">
        <v>4992</v>
      </c>
      <c r="F33" s="33">
        <f>Table132[[#This Row],[New position]]-Table132[[#This Row],[Old position]]</f>
        <v>553</v>
      </c>
      <c r="G33" s="34">
        <f>ROUND(Table132[[#This Row],[Target allocation ($)]]/(IF(G80&gt;0, G60,E60)*C24)*100,3)</f>
        <v>2.3479999999999999</v>
      </c>
      <c r="H33" s="39">
        <f>Table132[[#This Row],[New position]]*Table132[[#This Row],[Last_Price]]</f>
        <v>4507776</v>
      </c>
      <c r="I33" s="105"/>
      <c r="J33" s="95" t="s">
        <v>73</v>
      </c>
      <c r="K33" s="95">
        <v>895.35</v>
      </c>
      <c r="L33"/>
      <c r="M33"/>
      <c r="N33"/>
      <c r="O33"/>
      <c r="P33"/>
      <c r="Q33"/>
    </row>
    <row r="34" spans="1:17" x14ac:dyDescent="0.25">
      <c r="A34" s="44" t="s">
        <v>82</v>
      </c>
      <c r="B34" s="34" t="s">
        <v>14</v>
      </c>
      <c r="C34" s="94">
        <v>56.07</v>
      </c>
      <c r="D34" s="34">
        <v>77769</v>
      </c>
      <c r="E34" s="34">
        <v>82227</v>
      </c>
      <c r="F34" s="33">
        <f>Table132[[#This Row],[New position]]-Table132[[#This Row],[Old position]]</f>
        <v>4458</v>
      </c>
      <c r="G34" s="34">
        <f>ROUND(Table132[[#This Row],[Target allocation ($)]]/(IF(G80&gt;0, G60,E60)*C24)*100,3)</f>
        <v>2.4009999999999998</v>
      </c>
      <c r="H34" s="39">
        <f>Table132[[#This Row],[New position]]*Table132[[#This Row],[Last_Price]]</f>
        <v>4610467.8899999997</v>
      </c>
      <c r="I34" s="105"/>
      <c r="J34" s="95" t="s">
        <v>73</v>
      </c>
      <c r="K34" s="95">
        <v>56.16</v>
      </c>
      <c r="L34"/>
      <c r="M34"/>
      <c r="N34"/>
      <c r="O34"/>
      <c r="P34"/>
      <c r="Q34"/>
    </row>
    <row r="35" spans="1:17" x14ac:dyDescent="0.25">
      <c r="A35" s="44" t="s">
        <v>83</v>
      </c>
      <c r="B35" s="44" t="s">
        <v>14</v>
      </c>
      <c r="C35" s="94">
        <v>202.36</v>
      </c>
      <c r="D35" s="34">
        <v>10486</v>
      </c>
      <c r="E35" s="34">
        <v>10486</v>
      </c>
      <c r="F35" s="33">
        <f>Table132[[#This Row],[New position]]-Table132[[#This Row],[Old position]]</f>
        <v>0</v>
      </c>
      <c r="G35" s="34">
        <f>ROUND(Table132[[#This Row],[Target allocation ($)]]/(IF(G80&gt;0, G60,E60)*C24)*100,3)</f>
        <v>1.105</v>
      </c>
      <c r="H35" s="39">
        <f>Table132[[#This Row],[New position]]*Table132[[#This Row],[Last_Price]]</f>
        <v>2121946.96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84</v>
      </c>
      <c r="B36" s="34" t="s">
        <v>14</v>
      </c>
      <c r="C36" s="46">
        <v>47.48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0.79</v>
      </c>
      <c r="H36" s="39">
        <f>Table132[[#This Row],[New position]]*Table132[[#This Row],[Last_Price]]</f>
        <v>1517840.64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238.59497206703901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0.112</v>
      </c>
      <c r="H37" s="39">
        <f>Table132[[#This Row],[New position]]*Table132[[#This Row],[Last_Price]]</f>
        <v>214735.47486033512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37.058823529411796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0.29499999999999998</v>
      </c>
      <c r="H38" s="39">
        <f>Table132[[#This Row],[New position]]*Table132[[#This Row],[Last_Price]]</f>
        <v>567000.00000000047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9.2071611253196899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0.105</v>
      </c>
      <c r="H39" s="39">
        <f>Table132[[#This Row],[New position]]*Table132[[#This Row],[Last_Price]]</f>
        <v>202557.54475703317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13.069053708439901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0.106</v>
      </c>
      <c r="H40" s="39">
        <f>Table132[[#This Row],[New position]]*Table132[[#This Row],[Last_Price]]</f>
        <v>203877.23785166244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0.80946291560102301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0.71</v>
      </c>
      <c r="H41" s="39">
        <f>Table132[[#This Row],[New position]]*Table132[[#This Row],[Last_Price]]</f>
        <v>1363135.5498721227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2.2327365728900301</v>
      </c>
      <c r="D42" s="34">
        <v>2125000</v>
      </c>
      <c r="E42" s="34">
        <v>2348000</v>
      </c>
      <c r="F42" s="33">
        <f>Table132[[#This Row],[New position]]-Table132[[#This Row],[Old position]]</f>
        <v>223000</v>
      </c>
      <c r="G42" s="34">
        <f>ROUND(Table132[[#This Row],[Target allocation ($)]]/(IF(G80&gt;0, G60,E60)*C24)*100,3)</f>
        <v>2.73</v>
      </c>
      <c r="H42" s="39">
        <f>Table132[[#This Row],[New position]]*Table132[[#This Row],[Last_Price]]</f>
        <v>5242465.4731457904</v>
      </c>
      <c r="I42" s="59"/>
      <c r="J42" s="95" t="s">
        <v>73</v>
      </c>
      <c r="K42" s="95">
        <v>2.23</v>
      </c>
      <c r="L42"/>
      <c r="M42"/>
      <c r="N42"/>
      <c r="O42"/>
      <c r="P42"/>
      <c r="Q42"/>
    </row>
    <row r="43" spans="1:17" x14ac:dyDescent="0.25">
      <c r="A43" s="34" t="s">
        <v>68</v>
      </c>
      <c r="B43" s="34" t="s">
        <v>14</v>
      </c>
      <c r="C43" s="94">
        <v>42.47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5.2990000000000004</v>
      </c>
      <c r="H43" s="39">
        <f>Table132[[#This Row],[New position]]*Table132[[#This Row],[Last_Price]]</f>
        <v>10175472.24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53</v>
      </c>
      <c r="B44" s="34" t="s">
        <v>14</v>
      </c>
      <c r="C44" s="46">
        <v>84.92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7.2999999999999995E-2</v>
      </c>
      <c r="H44" s="39">
        <f>Table132[[#This Row],[New position]]*Table132[[#This Row],[Last_Price]]</f>
        <v>140118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55</v>
      </c>
      <c r="B45" s="34" t="s">
        <v>14</v>
      </c>
      <c r="C45" s="46">
        <v>22.75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0.156</v>
      </c>
      <c r="H45" s="39">
        <f>Table132[[#This Row],[New position]]*Table132[[#This Row],[Last_Price]]</f>
        <v>299185.25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54</v>
      </c>
      <c r="B46" s="44" t="s">
        <v>14</v>
      </c>
      <c r="C46" s="46">
        <v>70.41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0.79500000000000004</v>
      </c>
      <c r="H46" s="39">
        <f>Table132[[#This Row],[New position]]*Table132[[#This Row],[Last_Price]]</f>
        <v>1526347.98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63</v>
      </c>
      <c r="B47" s="44" t="s">
        <v>14</v>
      </c>
      <c r="C47" s="46">
        <v>32.28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5.7000000000000002E-2</v>
      </c>
      <c r="H47" s="39">
        <f>Table132[[#This Row],[New position]]*Table132[[#This Row],[Last_Price]]</f>
        <v>109752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64</v>
      </c>
      <c r="B48" s="34" t="s">
        <v>14</v>
      </c>
      <c r="C48" s="46">
        <v>105.33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10.375</v>
      </c>
      <c r="H48" s="39">
        <f>Table132[[#This Row],[New position]]*Table132[[#This Row],[Last_Price]]</f>
        <v>19922432.190000001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436.39</v>
      </c>
      <c r="D49" s="34">
        <v>50528</v>
      </c>
      <c r="E49" s="34">
        <v>50528</v>
      </c>
      <c r="F49" s="33">
        <f>Table132[[#This Row],[New position]]-Table132[[#This Row],[Old position]]</f>
        <v>0</v>
      </c>
      <c r="G49" s="34">
        <f>ROUND(Table132[[#This Row],[Target allocation ($)]]/(IF(G80&gt;0, G60,E60)*C24)*100,3)</f>
        <v>11.483000000000001</v>
      </c>
      <c r="H49" s="39">
        <f>Table132[[#This Row],[New position]]*Table132[[#This Row],[Last_Price]]</f>
        <v>22049913.919999998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47.98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0.46200000000000002</v>
      </c>
      <c r="H50" s="39">
        <f>Table132[[#This Row],[New position]]*Table132[[#This Row],[Last_Price]]</f>
        <v>887630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79.77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1.508</v>
      </c>
      <c r="H51" s="39">
        <f>Table132[[#This Row],[New position]]*Table132[[#This Row],[Last_Price]]</f>
        <v>2896608.2399999998</v>
      </c>
      <c r="I51" s="26"/>
      <c r="J51" s="97"/>
      <c r="K51" s="97"/>
      <c r="L51" s="42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71.81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1.4339999999999999</v>
      </c>
      <c r="H52" s="39">
        <f>Table132[[#This Row],[New position]]*Table132[[#This Row],[Last_Price]]</f>
        <v>2753913.5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92.92</v>
      </c>
      <c r="D53" s="34">
        <v>63975</v>
      </c>
      <c r="E53" s="34">
        <v>63975</v>
      </c>
      <c r="F53" s="33">
        <f>Table132[[#This Row],[New position]]-Table132[[#This Row],[Old position]]</f>
        <v>0</v>
      </c>
      <c r="G53" s="34">
        <f>ROUND(Table132[[#This Row],[Target allocation ($)]]/(IF(G80&gt;0, G60,E60)*C24)*100,3)</f>
        <v>3.0960000000000001</v>
      </c>
      <c r="H53" s="39">
        <f>Table132[[#This Row],[New position]]*Table132[[#This Row],[Last_Price]]</f>
        <v>5944557</v>
      </c>
      <c r="I53" s="26"/>
      <c r="J53" s="95"/>
      <c r="K53" s="97"/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107.9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1.502</v>
      </c>
      <c r="H54" s="39">
        <f>Table132[[#This Row],[New position]]*Table132[[#This Row],[Last_Price]]</f>
        <v>2883627.5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36.26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1.4790000000000001</v>
      </c>
      <c r="H55" s="39">
        <f>Table132[[#This Row],[New position]]*Table132[[#This Row],[Last_Price]]</f>
        <v>2840028.2399999998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67</v>
      </c>
      <c r="B56" s="44" t="s">
        <v>14</v>
      </c>
      <c r="C56" s="46">
        <v>47.22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0.51700000000000002</v>
      </c>
      <c r="H56" s="39">
        <f>Table132[[#This Row],[New position]]*Table132[[#This Row],[Last_Price]]</f>
        <v>992233.86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199.6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4.0060000000000002</v>
      </c>
      <c r="H57" s="39">
        <f>Table132[[#This Row],[New position]]*Table132[[#This Row],[Last_Price]]</f>
        <v>7693382.3999999994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4.0000000000000009</v>
      </c>
      <c r="F60" s="31"/>
      <c r="G60" s="34">
        <v>4</v>
      </c>
      <c r="H60" s="46"/>
      <c r="I60" s="48"/>
      <c r="J60" s="101" t="s">
        <v>76</v>
      </c>
      <c r="K60" s="82" t="s">
        <v>77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27"/>
      <c r="J61" s="68" t="s">
        <v>78</v>
      </c>
      <c r="K61" s="104">
        <f>1-SUM(K62:K63)</f>
        <v>0.58302921318074874</v>
      </c>
      <c r="L61"/>
      <c r="M61"/>
      <c r="N61"/>
      <c r="O61"/>
      <c r="P61"/>
      <c r="Q61"/>
    </row>
    <row r="62" spans="1:17" ht="15" customHeight="1" x14ac:dyDescent="0.25">
      <c r="A62" s="44" t="s">
        <v>58</v>
      </c>
      <c r="B62" s="44"/>
      <c r="C62" s="45"/>
      <c r="D62" s="47" t="str">
        <f>Table132[[#This Row],[Symbol]]</f>
        <v>Healthcare</v>
      </c>
      <c r="E62" s="34">
        <f>ROUND(SUM(G28:G28)/100, 3)</f>
        <v>0.03</v>
      </c>
      <c r="F62" s="47" t="str">
        <f>Table132[[#This Row],[Symbol]]</f>
        <v>Healthcare</v>
      </c>
      <c r="G62" s="34">
        <f>SUM(H28:H28)/(G60*C24)</f>
        <v>3.0322425019096617E-2</v>
      </c>
      <c r="H62" s="46"/>
      <c r="I62" s="27"/>
      <c r="J62" s="68" t="s">
        <v>79</v>
      </c>
      <c r="K62" s="102">
        <f>(SUM(H37:H48)+H32)/C25</f>
        <v>0.36554682106751696</v>
      </c>
      <c r="L62"/>
      <c r="M62"/>
      <c r="N62"/>
      <c r="O62"/>
      <c r="P62"/>
      <c r="Q62"/>
    </row>
    <row r="63" spans="1:17" ht="15" customHeight="1" x14ac:dyDescent="0.25">
      <c r="A63" s="44" t="s">
        <v>93</v>
      </c>
      <c r="B63" s="44"/>
      <c r="C63" s="45"/>
      <c r="D63" s="47" t="str">
        <f>Table132[[#This Row],[Symbol]]</f>
        <v>Financials</v>
      </c>
      <c r="E63" s="34">
        <f>ROUND(SUM(G29:G29)/100, 3)</f>
        <v>2.5999999999999999E-2</v>
      </c>
      <c r="F63" s="47" t="str">
        <f>Table132[[#This Row],[Symbol]]</f>
        <v>Financials</v>
      </c>
      <c r="G63" s="51">
        <f>SUM(H29:H29)/(G60*C24)</f>
        <v>2.5739953159914338E-2</v>
      </c>
      <c r="H63" s="46"/>
      <c r="I63" s="106"/>
      <c r="J63" s="68" t="s">
        <v>80</v>
      </c>
      <c r="K63" s="103">
        <f>(H57+H50)/C25</f>
        <v>5.1423965751734302E-2</v>
      </c>
      <c r="L63"/>
      <c r="M63"/>
      <c r="N63"/>
      <c r="O63"/>
      <c r="P63"/>
      <c r="Q63"/>
    </row>
    <row r="64" spans="1:17" ht="15" customHeight="1" x14ac:dyDescent="0.25">
      <c r="A64" s="44" t="s">
        <v>94</v>
      </c>
      <c r="B64" s="44"/>
      <c r="C64" s="45"/>
      <c r="D64" s="47" t="str">
        <f>Table132[[#This Row],[Symbol]]</f>
        <v>Techs</v>
      </c>
      <c r="E64" s="51">
        <f>ROUND(SUM(G30:G30)/100, 3)</f>
        <v>2.5000000000000001E-2</v>
      </c>
      <c r="F64" s="47" t="str">
        <f>Table132[[#This Row],[Symbol]]</f>
        <v>Techs</v>
      </c>
      <c r="G64" s="34">
        <f>SUM(H30:H30)/(G60*C24)</f>
        <v>2.5449315177783396E-2</v>
      </c>
      <c r="H64" s="46"/>
      <c r="I64" s="106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0.28199999999999997</v>
      </c>
      <c r="F65" s="47" t="str">
        <f>Table132[[#This Row],[Symbol]]</f>
        <v>Semiconductor</v>
      </c>
      <c r="G65" s="51">
        <f>SUM(H31:H33)/(G60*C24)</f>
        <v>0.2815100818357914</v>
      </c>
      <c r="H65" s="46"/>
      <c r="I65" s="52"/>
      <c r="K65" s="84"/>
      <c r="L65"/>
      <c r="M65"/>
      <c r="N65"/>
      <c r="O65"/>
      <c r="P65"/>
      <c r="Q65"/>
    </row>
    <row r="66" spans="1:17" ht="15.75" customHeight="1" x14ac:dyDescent="0.25">
      <c r="A66" s="44" t="s">
        <v>51</v>
      </c>
      <c r="B66" s="44"/>
      <c r="C66" s="45"/>
      <c r="D66" s="47" t="str">
        <f>Table132[[#This Row],[Symbol]]</f>
        <v>Small Cap</v>
      </c>
      <c r="E66" s="51">
        <f>ROUND(SUM(G34:G36)/100, 3)</f>
        <v>4.2999999999999997E-2</v>
      </c>
      <c r="F66" s="47" t="str">
        <f>Table132[[#This Row],[Symbol]]</f>
        <v>Small Cap</v>
      </c>
      <c r="G66" s="51">
        <f>SUM(H34:H36)/(G60*C24)</f>
        <v>4.2964808537035763E-2</v>
      </c>
      <c r="H66" s="46"/>
      <c r="I66" s="52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52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9.6000000000000002E-2</v>
      </c>
      <c r="F69" s="47" t="str">
        <f>Table132[[#This Row],[Symbol]]</f>
        <v>Int Stocks</v>
      </c>
      <c r="G69" s="34">
        <f>SUM(H37:H45)/(G60*C24)</f>
        <v>9.5866084195538007E-2</v>
      </c>
      <c r="H69" s="46"/>
      <c r="I69" s="27" t="s">
        <v>81</v>
      </c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65</v>
      </c>
      <c r="B70" s="44"/>
      <c r="C70" s="45"/>
      <c r="D70" s="47" t="str">
        <f>Table132[[#This Row],[Symbol]]</f>
        <v>JP Stocks</v>
      </c>
      <c r="E70" s="34">
        <f>ROUND(SUM(G46:G48)/100, 3)</f>
        <v>0.112</v>
      </c>
      <c r="F70" s="47" t="str">
        <f>Table132[[#This Row],[Symbol]]</f>
        <v>JP Stocks</v>
      </c>
      <c r="G70" s="51">
        <f>SUM(H46:H48)/(G60*C24)</f>
        <v>0.11227024522407564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74</v>
      </c>
      <c r="B71" s="44"/>
      <c r="C71" s="45"/>
      <c r="D71" s="47" t="str">
        <f>Table132[[#This Row],[Symbol]]</f>
        <v>Nasdaq</v>
      </c>
      <c r="E71" s="51">
        <f>ROUND(SUM(G49)/100, 3)</f>
        <v>0.115</v>
      </c>
      <c r="F71" s="47" t="str">
        <f>Table132[[#This Row],[Symbol]]</f>
        <v>Nasdaq</v>
      </c>
      <c r="G71" s="51">
        <f>SUM(H49)/(G60*C24)</f>
        <v>0.11482921116554655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52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56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9.5000000000000001E-2</v>
      </c>
      <c r="F74" s="47" t="str">
        <f>Table132[[#This Row],[Symbol]]</f>
        <v>Bonds</v>
      </c>
      <c r="G74" s="51">
        <f>(SUM(H51:H56))/(G60*C24)</f>
        <v>9.5357925558717901E-2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60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0.04</v>
      </c>
      <c r="F76" s="47" t="str">
        <f>Table132[[#This Row],[Symbol]]</f>
        <v>Gold</v>
      </c>
      <c r="G76" s="51">
        <f>SUM(H57)/(G60*C24)</f>
        <v>4.0064783717164702E-2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5.0000000000000001E-3</v>
      </c>
      <c r="F77" s="47" t="str">
        <f>Table132[[#This Row],[Symbol]]</f>
        <v>Commodities</v>
      </c>
      <c r="G77" s="34">
        <f>SUM(H50)/(G60*C24)</f>
        <v>4.6225056966968008E-3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0.13100000000000001</v>
      </c>
      <c r="F79" s="47" t="str">
        <f>Table132[[#This Row],[Symbol]]</f>
        <v>Cash</v>
      </c>
      <c r="G79" s="34">
        <f>1-SUM(G61:G78)</f>
        <v>0.13100266071263889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6288771.5899999999</v>
      </c>
      <c r="F80" s="31"/>
      <c r="G80" s="34">
        <f>C24*G79</f>
        <v>6288899.3198782643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2024-03-19T06:06:40Z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