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3-2024/"/>
    </mc:Choice>
  </mc:AlternateContent>
  <xr:revisionPtr revIDLastSave="4303" documentId="14_{A48F4B07-3EF3-43E5-91B2-4CA340E6013A}" xr6:coauthVersionLast="47" xr6:coauthVersionMax="47" xr10:uidLastSave="{AB4F940D-BB6E-4C86-9479-0631333ACFD1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3" l="1"/>
  <c r="F64" i="3"/>
  <c r="D63" i="3"/>
  <c r="D64" i="3"/>
  <c r="H29" i="3"/>
  <c r="H30" i="3"/>
  <c r="F29" i="3"/>
  <c r="F30" i="3"/>
  <c r="H33" i="3"/>
  <c r="F33" i="3"/>
  <c r="H34" i="3" l="1"/>
  <c r="H35" i="3"/>
  <c r="H36" i="3"/>
  <c r="F34" i="3"/>
  <c r="F35" i="3"/>
  <c r="F36" i="3"/>
  <c r="F50" i="3"/>
  <c r="H50" i="3"/>
  <c r="E73" i="3" l="1"/>
  <c r="E78" i="3" l="1"/>
  <c r="F49" i="3"/>
  <c r="H49" i="3" l="1"/>
  <c r="E75" i="3"/>
  <c r="E72" i="3"/>
  <c r="H28" i="3"/>
  <c r="F28" i="3"/>
  <c r="E61" i="3"/>
  <c r="H31" i="3"/>
  <c r="F31" i="3"/>
  <c r="F43" i="3" l="1"/>
  <c r="H43" i="3"/>
  <c r="E68" i="3" l="1"/>
  <c r="E67" i="3"/>
  <c r="F47" i="3"/>
  <c r="F70" i="3" l="1"/>
  <c r="D70" i="3"/>
  <c r="F57" i="3" l="1"/>
  <c r="H57" i="3"/>
  <c r="H47" i="3" l="1"/>
  <c r="H46" i="3"/>
  <c r="F46" i="3"/>
  <c r="D75" i="3" l="1"/>
  <c r="F75" i="3"/>
  <c r="D62" i="3" l="1"/>
  <c r="D65" i="3"/>
  <c r="D66" i="3"/>
  <c r="D67" i="3"/>
  <c r="D68" i="3"/>
  <c r="D69" i="3"/>
  <c r="D71" i="3"/>
  <c r="D72" i="3"/>
  <c r="D73" i="3"/>
  <c r="D74" i="3"/>
  <c r="D76" i="3"/>
  <c r="D77" i="3"/>
  <c r="D78" i="3"/>
  <c r="D79" i="3"/>
  <c r="F62" i="3"/>
  <c r="H42" i="3"/>
  <c r="F42" i="3"/>
  <c r="F44" i="3"/>
  <c r="F45" i="3"/>
  <c r="H44" i="3"/>
  <c r="H45" i="3"/>
  <c r="F41" i="3" l="1"/>
  <c r="H41" i="3"/>
  <c r="F73" i="3"/>
  <c r="D61" i="3" l="1"/>
  <c r="F69" i="3"/>
  <c r="F67" i="3"/>
  <c r="F66" i="3"/>
  <c r="F65" i="3"/>
  <c r="F61" i="3"/>
  <c r="F72" i="3"/>
  <c r="F68" i="3" l="1"/>
  <c r="F71" i="3"/>
  <c r="F74" i="3"/>
  <c r="F76" i="3"/>
  <c r="F77" i="3"/>
  <c r="F78" i="3"/>
  <c r="F79" i="3"/>
  <c r="H53" i="3" l="1"/>
  <c r="H52" i="3" l="1"/>
  <c r="H54" i="3"/>
  <c r="H55" i="3"/>
  <c r="H56" i="3"/>
  <c r="F52" i="3"/>
  <c r="F53" i="3"/>
  <c r="F54" i="3"/>
  <c r="F55" i="3"/>
  <c r="F56" i="3"/>
  <c r="F37" i="3" l="1"/>
  <c r="F38" i="3"/>
  <c r="F39" i="3"/>
  <c r="F48" i="3"/>
  <c r="F51" i="3"/>
  <c r="H51" i="3"/>
  <c r="H37" i="3" l="1"/>
  <c r="H38" i="3"/>
  <c r="H48" i="3" l="1"/>
  <c r="H32" i="3"/>
  <c r="H40" i="3" l="1"/>
  <c r="H39" i="3"/>
  <c r="C25" i="3" l="1" a="1"/>
  <c r="C25" i="3" s="1"/>
  <c r="K63" i="3" l="1"/>
  <c r="K62" i="3"/>
  <c r="F40" i="3"/>
  <c r="K61" i="3" l="1"/>
  <c r="F32" i="3"/>
  <c r="C24" i="3"/>
  <c r="C6" i="3" l="1"/>
  <c r="C5" i="3"/>
  <c r="C4" i="3"/>
  <c r="G64" i="3"/>
  <c r="G62" i="3"/>
  <c r="G63" i="3"/>
  <c r="G65" i="3"/>
  <c r="C7" i="3"/>
  <c r="C8" i="3"/>
  <c r="G66" i="3"/>
  <c r="G77" i="3"/>
  <c r="G74" i="3"/>
  <c r="C16" i="3"/>
  <c r="G73" i="3"/>
  <c r="C15" i="3"/>
  <c r="C19" i="3"/>
  <c r="G78" i="3"/>
  <c r="G71" i="3"/>
  <c r="C13" i="3"/>
  <c r="C18" i="3"/>
  <c r="G75" i="3"/>
  <c r="G72" i="3"/>
  <c r="C14" i="3"/>
  <c r="G61" i="3"/>
  <c r="C3" i="3"/>
  <c r="C11" i="3"/>
  <c r="C12" i="3"/>
  <c r="C20" i="3"/>
  <c r="C17" i="3"/>
  <c r="G76" i="3"/>
  <c r="C9" i="3"/>
  <c r="G67" i="3"/>
  <c r="C10" i="3"/>
  <c r="G68" i="3"/>
  <c r="G70" i="3"/>
  <c r="G69" i="3"/>
  <c r="C2" i="3"/>
  <c r="G79" i="3" l="1"/>
  <c r="G80" i="3" s="1"/>
  <c r="G30" i="3" l="1"/>
  <c r="E64" i="3" s="1"/>
  <c r="G29" i="3"/>
  <c r="E63" i="3" s="1"/>
  <c r="G28" i="3"/>
  <c r="E62" i="3" s="1"/>
  <c r="G32" i="3"/>
  <c r="G33" i="3"/>
  <c r="E60" i="3"/>
  <c r="G36" i="3"/>
  <c r="G34" i="3"/>
  <c r="G35" i="3"/>
  <c r="G50" i="3"/>
  <c r="E77" i="3" s="1"/>
  <c r="G49" i="3"/>
  <c r="E71" i="3" s="1"/>
  <c r="G48" i="3"/>
  <c r="G31" i="3"/>
  <c r="G46" i="3"/>
  <c r="G47" i="3"/>
  <c r="G51" i="3"/>
  <c r="G37" i="3"/>
  <c r="G55" i="3"/>
  <c r="G41" i="3"/>
  <c r="G53" i="3"/>
  <c r="G38" i="3"/>
  <c r="G54" i="3"/>
  <c r="G52" i="3"/>
  <c r="G44" i="3"/>
  <c r="E65" i="3" l="1"/>
  <c r="E66" i="3"/>
  <c r="G40" i="3"/>
  <c r="G57" i="3"/>
  <c r="E76" i="3" s="1"/>
  <c r="G56" i="3"/>
  <c r="E74" i="3" s="1"/>
  <c r="G39" i="3"/>
  <c r="G43" i="3"/>
  <c r="G45" i="3"/>
  <c r="G42" i="3"/>
  <c r="E70" i="3"/>
  <c r="E69" i="3" l="1"/>
  <c r="E79" i="3" s="1"/>
  <c r="E80" i="3" s="1"/>
</calcChain>
</file>

<file path=xl/sharedStrings.xml><?xml version="1.0" encoding="utf-8"?>
<sst xmlns="http://schemas.openxmlformats.org/spreadsheetml/2006/main" count="126" uniqueCount="96">
  <si>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</si>
  <si>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</si>
  <si>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</si>
  <si>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</si>
  <si>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</si>
  <si>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</si>
  <si>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</si>
  <si>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</si>
  <si>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</si>
  <si>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</si>
  <si>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</si>
  <si>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</si>
  <si>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</si>
  <si>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</si>
  <si>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</si>
  <si>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</si>
  <si>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</si>
  <si>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</si>
  <si>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</si>
  <si>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</si>
  <si>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</si>
  <si>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</si>
  <si>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</si>
  <si>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</si>
  <si>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</si>
  <si>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</si>
  <si>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</si>
  <si>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</si>
  <si>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</si>
  <si>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</si>
  <si>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</si>
  <si>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</si>
  <si>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</si>
  <si>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</si>
  <si>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</si>
  <si>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</si>
  <si>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</si>
  <si>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</si>
  <si>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</si>
  <si>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</si>
  <si>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</si>
  <si>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</si>
  <si>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</si>
  <si>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</si>
  <si>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</si>
  <si>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</si>
  <si>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</si>
  <si>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</si>
  <si>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</si>
  <si>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</si>
  <si>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</si>
  <si>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Small Cap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</si>
  <si>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</si>
  <si>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</si>
  <si>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</si>
  <si>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</si>
  <si>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</si>
  <si>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</si>
  <si>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</si>
  <si>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</si>
  <si>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</si>
  <si>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</si>
  <si>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</si>
  <si>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</si>
  <si>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</si>
  <si>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</si>
  <si>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</si>
  <si>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</si>
  <si>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</si>
  <si>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</si>
  <si>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</si>
  <si>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</si>
  <si>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</si>
  <si>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</si>
  <si>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</si>
  <si>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</si>
  <si>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</si>
  <si>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</si>
  <si>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</si>
  <si>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</si>
  <si>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 xml:space="preserve"> 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</si>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</sst>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8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2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3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8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13EE-47E0-A0ED-765CA99AA17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Sheet1!$D$61:$D$79</c:f>
              <c:strCache>
                <c:ptCount val="19"/>
                <c:pt idx="0">
                  <c:v>SingleStocks</c:v>
                </c:pt>
                <c:pt idx="1">
                  <c:v>Healthcare</c:v>
                </c:pt>
                <c:pt idx="2">
                  <c:v>Financials</c:v>
                </c:pt>
                <c:pt idx="3">
                  <c:v>Techs</c:v>
                </c:pt>
                <c:pt idx="4">
                  <c:v>Semiconductor</c:v>
                </c:pt>
                <c:pt idx="5">
                  <c:v>Small Cap</c:v>
                </c:pt>
                <c:pt idx="6">
                  <c:v>S&amp;P</c:v>
                </c:pt>
                <c:pt idx="7">
                  <c:v>Dow Jones</c:v>
                </c:pt>
                <c:pt idx="8">
                  <c:v>Int Stocks</c:v>
                </c:pt>
                <c:pt idx="9">
                  <c:v>JP Stocks</c:v>
                </c:pt>
                <c:pt idx="10">
                  <c:v>Nasdaq</c:v>
                </c:pt>
                <c:pt idx="11">
                  <c:v>Regional Bank</c:v>
                </c:pt>
                <c:pt idx="12">
                  <c:v>Short</c:v>
                </c:pt>
                <c:pt idx="13">
                  <c:v>Bonds</c:v>
                </c:pt>
                <c:pt idx="14">
                  <c:v>Core</c:v>
                </c:pt>
                <c:pt idx="15">
                  <c:v>Gold</c:v>
                </c:pt>
                <c:pt idx="16">
                  <c:v>Commodities</c:v>
                </c:pt>
                <c:pt idx="17">
                  <c:v>Crypto</c:v>
                </c:pt>
                <c:pt idx="18">
                  <c:v>Cash</c:v>
                </c:pt>
              </c:strCache>
            </c:strRef>
          </c:cat>
          <c:val>
            <c:numRef>
              <c:f>Sheet1!$E$61:$E$79</c:f>
              <c:numCache>
                <c:formatCode>General</c:formatCode>
                <c:ptCount val="19"/>
                <c:pt idx="0">
                  <c:v>0</c:v>
                </c:pt>
                <c:pt idx="1">
                  <c:v>0.03</c:v>
                </c:pt>
                <c:pt idx="2">
                  <c:v>2.5999999999999999E-2</c:v>
                </c:pt>
                <c:pt idx="3">
                  <c:v>2.5999999999999999E-2</c:v>
                </c:pt>
                <c:pt idx="4">
                  <c:v>0.27900000000000003</c:v>
                </c:pt>
                <c:pt idx="5">
                  <c:v>4.2999999999999997E-2</c:v>
                </c:pt>
                <c:pt idx="6">
                  <c:v>0</c:v>
                </c:pt>
                <c:pt idx="7">
                  <c:v>0</c:v>
                </c:pt>
                <c:pt idx="8">
                  <c:v>9.7000000000000003E-2</c:v>
                </c:pt>
                <c:pt idx="9">
                  <c:v>0.113</c:v>
                </c:pt>
                <c:pt idx="10">
                  <c:v>0.115</c:v>
                </c:pt>
                <c:pt idx="11">
                  <c:v>0</c:v>
                </c:pt>
                <c:pt idx="12">
                  <c:v>0</c:v>
                </c:pt>
                <c:pt idx="13">
                  <c:v>9.6000000000000002E-2</c:v>
                </c:pt>
                <c:pt idx="14">
                  <c:v>0</c:v>
                </c:pt>
                <c:pt idx="15">
                  <c:v>0.04</c:v>
                </c:pt>
                <c:pt idx="16">
                  <c:v>5.0000000000000001E-3</c:v>
                </c:pt>
                <c:pt idx="17">
                  <c:v>0</c:v>
                </c:pt>
                <c:pt idx="18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Sheet1!$J$61:$J$64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Sheet1!$K$61:$K$64</c:f>
              <c:numCache>
                <c:formatCode>0%</c:formatCode>
                <c:ptCount val="4"/>
                <c:pt idx="0">
                  <c:v>0.58020039331072093</c:v>
                </c:pt>
                <c:pt idx="1">
                  <c:v>0.36832379241197388</c:v>
                </c:pt>
                <c:pt idx="2">
                  <c:v>5.1475814277305201E-2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3" totalsRowShown="0" headerRowDxfId="13" dataDxfId="11" headerRowBorderDxfId="12" tableBorderDxfId="10" totalsRowBorderDxfId="9">
  <autoFilter ref="A27:I83" xr:uid="{00000000-0009-0000-0100-000001000000}"/>
  <sortState xmlns:xlrd2="http://schemas.microsoft.com/office/spreadsheetml/2017/richdata2" ref="A28:I82">
    <sortCondition ref="A27:A8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1"/>
  <sheetViews>
    <sheetView tabSelected="1" topLeftCell="A19" zoomScale="120" zoomScaleNormal="120" workbookViewId="0">
      <selection activeCell="I40" sqref="I4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45370</v>
      </c>
      <c r="E1" s="14"/>
      <c r="F1" s="14"/>
      <c r="G1" s="43"/>
      <c r="H1" s="14"/>
      <c r="J1" s="66"/>
      <c r="K1" s="80"/>
    </row>
    <row r="2" spans="1:12" s="13" customFormat="1" x14ac:dyDescent="0.25">
      <c r="A2" s="107" t="s">
        <v>10</v>
      </c>
      <c r="B2" s="107"/>
      <c r="C2" s="15">
        <f>C25/C24</f>
        <v>3.4770137020833687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09" t="s">
        <v>84</v>
      </c>
      <c r="B3" s="110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57</v>
      </c>
      <c r="B4" s="57"/>
      <c r="C4" s="15">
        <f>SUM(H28:H28)/C24</f>
        <v>0.12165153537215655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94</v>
      </c>
      <c r="B5" s="57"/>
      <c r="C5" s="15">
        <f>SUM(H29:H29)/C24</f>
        <v>0.10398047895343301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95</v>
      </c>
      <c r="B6" s="57"/>
      <c r="C6" s="15">
        <f>SUM(H30:H30)/C24</f>
        <v>0.10217329052464091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SUM(H31:H33)/C24</f>
        <v>1.1143022355158507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09" t="s">
        <v>88</v>
      </c>
      <c r="B8" s="110"/>
      <c r="C8" s="15">
        <f>SUM(H34:H36)/C24</f>
        <v>0.17204739960748219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85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86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09" t="s">
        <v>39</v>
      </c>
      <c r="B11" s="110"/>
      <c r="C11" s="15">
        <f>SUM(H37:H45)/C24</f>
        <v>0.38819436268806129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09" t="s">
        <v>66</v>
      </c>
      <c r="B12" s="110"/>
      <c r="C12" s="15">
        <f>SUM(H46:H48)/C24</f>
        <v>0.45199130205165966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09" t="s">
        <v>74</v>
      </c>
      <c r="B13" s="110"/>
      <c r="C13" s="15">
        <f>SUM(H49)/C24</f>
        <v>0.46097430434602249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87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59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09" t="s">
        <v>25</v>
      </c>
      <c r="B17" s="110"/>
      <c r="C17" s="15">
        <f>SUM(H51:H56)/C24</f>
        <v>0.38271668145597221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61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09" t="s">
        <v>38</v>
      </c>
      <c r="B20" s="110"/>
      <c r="C20" s="15">
        <f>SUM(H57)/C24</f>
        <v>0.1603403486429823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7" t="s">
        <v>8</v>
      </c>
      <c r="B21" s="107"/>
      <c r="C21" s="18">
        <v>47803687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7" t="s">
        <v>9</v>
      </c>
      <c r="B24" s="107"/>
      <c r="C24" s="18">
        <f>C21+C22-C23</f>
        <v>47803687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166214074.7091046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69</v>
      </c>
      <c r="K27" s="93" t="s">
        <v>70</v>
      </c>
    </row>
    <row r="28" spans="1:17" x14ac:dyDescent="0.25">
      <c r="A28" s="44" t="s">
        <v>72</v>
      </c>
      <c r="B28" s="34" t="s">
        <v>14</v>
      </c>
      <c r="C28" s="94">
        <v>144.82</v>
      </c>
      <c r="D28" s="34">
        <v>40156</v>
      </c>
      <c r="E28" s="34">
        <v>40156</v>
      </c>
      <c r="F28" s="33">
        <f>Table132[[#This Row],[New position]]-Table132[[#This Row],[Old position]]</f>
        <v>0</v>
      </c>
      <c r="G28" s="34">
        <f>ROUND(Table132[[#This Row],[Target allocation ($)]]/(IF(G80&gt;0, G60,E60)*C24)*100,3)</f>
        <v>3.0409999999999999</v>
      </c>
      <c r="H28" s="39">
        <f>Table132[[#This Row],[New position]]*Table132[[#This Row],[Last_Price]]</f>
        <v>5815391.9199999999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90</v>
      </c>
      <c r="B29" s="44" t="s">
        <v>14</v>
      </c>
      <c r="C29" s="94">
        <v>40.869999999999997</v>
      </c>
      <c r="D29" s="34">
        <v>121621</v>
      </c>
      <c r="E29" s="34">
        <v>121621</v>
      </c>
      <c r="F29" s="33">
        <f>Table132[[#This Row],[New position]]-Table132[[#This Row],[Old position]]</f>
        <v>0</v>
      </c>
      <c r="G29" s="34">
        <f>ROUND(Table132[[#This Row],[Target allocation ($)]]/(IF(G80&gt;0, G60,E60)*C24)*100,3)</f>
        <v>2.6</v>
      </c>
      <c r="H29" s="39">
        <f>Table132[[#This Row],[New position]]*Table132[[#This Row],[Last_Price]]</f>
        <v>4970650.2699999996</v>
      </c>
      <c r="I29" s="106"/>
      <c r="J29" s="95"/>
      <c r="K29" s="95"/>
      <c r="L29"/>
      <c r="M29"/>
      <c r="N29"/>
      <c r="O29"/>
      <c r="P29"/>
      <c r="Q29"/>
    </row>
    <row r="30" spans="1:17" x14ac:dyDescent="0.25">
      <c r="A30" s="34" t="s">
        <v>91</v>
      </c>
      <c r="B30" s="34" t="s">
        <v>14</v>
      </c>
      <c r="C30" s="94">
        <v>206</v>
      </c>
      <c r="D30" s="34">
        <v>23710</v>
      </c>
      <c r="E30" s="34">
        <v>23710</v>
      </c>
      <c r="F30" s="33">
        <f>Table132[[#This Row],[New position]]-Table132[[#This Row],[Old position]]</f>
        <v>0</v>
      </c>
      <c r="G30" s="34">
        <f>ROUND(Table132[[#This Row],[Target allocation ($)]]/(IF(G80&gt;0, G60,E60)*C24)*100,3)</f>
        <v>2.5539999999999998</v>
      </c>
      <c r="H30" s="39">
        <f>Table132[[#This Row],[New position]]*Table132[[#This Row],[Last_Price]]</f>
        <v>4884260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44" t="s">
        <v>71</v>
      </c>
      <c r="B31" s="44" t="s">
        <v>14</v>
      </c>
      <c r="C31" s="94">
        <v>216.75</v>
      </c>
      <c r="D31" s="34">
        <v>128476</v>
      </c>
      <c r="E31" s="34">
        <v>128476</v>
      </c>
      <c r="F31" s="33">
        <f>Table132[[#This Row],[New position]]-Table132[[#This Row],[Old position]]</f>
        <v>0</v>
      </c>
      <c r="G31" s="34">
        <f>ROUND(Table132[[#This Row],[Target allocation ($)]]/(IF(G80&gt;0, G60,E60)*C24)*100,3)</f>
        <v>14.563000000000001</v>
      </c>
      <c r="H31" s="39">
        <f>Table132[[#This Row],[New position]]*Table132[[#This Row],[Last_Price]]</f>
        <v>27847173</v>
      </c>
      <c r="I31" s="27"/>
      <c r="J31" s="95"/>
      <c r="K31" s="95"/>
      <c r="L31"/>
      <c r="M31"/>
      <c r="N31"/>
      <c r="O31"/>
      <c r="P31"/>
      <c r="Q31"/>
    </row>
    <row r="32" spans="1:17" x14ac:dyDescent="0.25">
      <c r="A32" s="34" t="s">
        <v>62</v>
      </c>
      <c r="B32" s="34" t="s">
        <v>14</v>
      </c>
      <c r="C32" s="94">
        <v>65.67</v>
      </c>
      <c r="D32" s="34">
        <v>320643</v>
      </c>
      <c r="E32" s="34">
        <v>320643</v>
      </c>
      <c r="F32" s="33">
        <f>Table132[[#This Row],[New position]]-Table132[[#This Row],[Old position]]</f>
        <v>0</v>
      </c>
      <c r="G32" s="34">
        <f>ROUND(Table132[[#This Row],[Target allocation ($)]]/(IF(G80&gt;0, G60,E60)*C24)*100,3)</f>
        <v>11.012</v>
      </c>
      <c r="H32" s="39">
        <f>Table132[[#This Row],[New position]]*Table132[[#This Row],[Last_Price]]</f>
        <v>21056625.810000002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44" t="s">
        <v>89</v>
      </c>
      <c r="B33" s="44" t="s">
        <v>14</v>
      </c>
      <c r="C33" s="94">
        <v>874.19</v>
      </c>
      <c r="D33" s="34">
        <v>4992</v>
      </c>
      <c r="E33" s="34">
        <v>4992</v>
      </c>
      <c r="F33" s="33">
        <f>Table132[[#This Row],[New position]]-Table132[[#This Row],[Old position]]</f>
        <v>0</v>
      </c>
      <c r="G33" s="34">
        <f>ROUND(Table132[[#This Row],[Target allocation ($)]]/(IF(G80&gt;0, G60,E60)*C24)*100,3)</f>
        <v>2.282</v>
      </c>
      <c r="H33" s="39">
        <f>Table132[[#This Row],[New position]]*Table132[[#This Row],[Last_Price]]</f>
        <v>4363956.4800000004</v>
      </c>
      <c r="I33" s="105"/>
      <c r="J33" s="95"/>
      <c r="K33" s="95"/>
      <c r="L33"/>
      <c r="M33"/>
      <c r="N33"/>
      <c r="O33"/>
      <c r="P33"/>
      <c r="Q33"/>
    </row>
    <row r="34" spans="1:17" x14ac:dyDescent="0.25">
      <c r="A34" s="44" t="s">
        <v>81</v>
      </c>
      <c r="B34" s="34" t="s">
        <v>14</v>
      </c>
      <c r="C34" s="94">
        <v>56.08</v>
      </c>
      <c r="D34" s="34">
        <v>82227</v>
      </c>
      <c r="E34" s="34">
        <v>82227</v>
      </c>
      <c r="F34" s="33">
        <f>Table132[[#This Row],[New position]]-Table132[[#This Row],[Old position]]</f>
        <v>0</v>
      </c>
      <c r="G34" s="34">
        <f>ROUND(Table132[[#This Row],[Target allocation ($)]]/(IF(G80&gt;0, G60,E60)*C24)*100,3)</f>
        <v>2.4119999999999999</v>
      </c>
      <c r="H34" s="39">
        <f>Table132[[#This Row],[New position]]*Table132[[#This Row],[Last_Price]]</f>
        <v>4611290.16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82</v>
      </c>
      <c r="B35" s="44" t="s">
        <v>14</v>
      </c>
      <c r="C35" s="94">
        <v>200.74</v>
      </c>
      <c r="D35" s="34">
        <v>10486</v>
      </c>
      <c r="E35" s="34">
        <v>10486</v>
      </c>
      <c r="F35" s="33">
        <f>Table132[[#This Row],[New position]]-Table132[[#This Row],[Old position]]</f>
        <v>0</v>
      </c>
      <c r="G35" s="34">
        <f>ROUND(Table132[[#This Row],[Target allocation ($)]]/(IF(G80&gt;0, G60,E60)*C24)*100,3)</f>
        <v>1.101</v>
      </c>
      <c r="H35" s="39">
        <f>Table132[[#This Row],[New position]]*Table132[[#This Row],[Last_Price]]</f>
        <v>2104959.64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83</v>
      </c>
      <c r="B36" s="34" t="s">
        <v>14</v>
      </c>
      <c r="C36" s="46">
        <v>47.18</v>
      </c>
      <c r="D36" s="34">
        <v>31968</v>
      </c>
      <c r="E36" s="34">
        <v>31968</v>
      </c>
      <c r="F36" s="33">
        <f>Table132[[#This Row],[New position]]-Table132[[#This Row],[Old position]]</f>
        <v>0</v>
      </c>
      <c r="G36" s="34">
        <f>ROUND(Table132[[#This Row],[Target allocation ($)]]/(IF(G80&gt;0, G60,E60)*C24)*100,3)</f>
        <v>0.78900000000000003</v>
      </c>
      <c r="H36" s="39">
        <f>Table132[[#This Row],[New position]]*Table132[[#This Row],[Last_Price]]</f>
        <v>1508250.24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34">
        <v>600519</v>
      </c>
      <c r="B37" s="34" t="s">
        <v>14</v>
      </c>
      <c r="C37" s="46">
        <v>238.68715083798901</v>
      </c>
      <c r="D37" s="34">
        <v>900</v>
      </c>
      <c r="E37" s="34">
        <v>900</v>
      </c>
      <c r="F37" s="33">
        <f>Table132[[#This Row],[New position]]-Table132[[#This Row],[Old position]]</f>
        <v>0</v>
      </c>
      <c r="G37" s="34">
        <f>ROUND(Table132[[#This Row],[Target allocation ($)]]/(IF(G80&gt;0, G60,E60)*C24)*100,3)</f>
        <v>0.112</v>
      </c>
      <c r="H37" s="39">
        <f>Table132[[#This Row],[New position]]*Table132[[#This Row],[Last_Price]]</f>
        <v>214818.43575419011</v>
      </c>
      <c r="I37" s="52"/>
      <c r="J37" s="95"/>
      <c r="K37" s="95"/>
      <c r="L37"/>
      <c r="M37"/>
      <c r="N37"/>
      <c r="O37"/>
      <c r="P37"/>
      <c r="Q37"/>
    </row>
    <row r="38" spans="1:17" x14ac:dyDescent="0.25">
      <c r="A38" s="34">
        <v>700</v>
      </c>
      <c r="B38" s="34" t="s">
        <v>14</v>
      </c>
      <c r="C38" s="46">
        <v>36.496163682864399</v>
      </c>
      <c r="D38" s="34">
        <v>15300</v>
      </c>
      <c r="E38" s="34">
        <v>15300</v>
      </c>
      <c r="F38" s="33">
        <f>Table132[[#This Row],[New position]]-Table132[[#This Row],[Old position]]</f>
        <v>0</v>
      </c>
      <c r="G38" s="34">
        <f>ROUND(Table132[[#This Row],[Target allocation ($)]]/(IF(G80&gt;0, G60,E60)*C24)*100,3)</f>
        <v>0.29199999999999998</v>
      </c>
      <c r="H38" s="39">
        <f>Table132[[#This Row],[New position]]*Table132[[#This Row],[Last_Price]]</f>
        <v>558391.30434782535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9988</v>
      </c>
      <c r="B39" s="34" t="s">
        <v>14</v>
      </c>
      <c r="C39" s="46">
        <v>9.0920716112531998</v>
      </c>
      <c r="D39" s="34">
        <v>22000</v>
      </c>
      <c r="E39" s="34">
        <v>22000</v>
      </c>
      <c r="F39" s="33">
        <f>Table132[[#This Row],[New position]]-Table132[[#This Row],[Old position]]</f>
        <v>0</v>
      </c>
      <c r="G39" s="34">
        <f>ROUND(Table132[[#This Row],[Target allocation ($)]]/(IF(G80&gt;0, G60,E60)*C24)*100,3)</f>
        <v>0.105</v>
      </c>
      <c r="H39" s="39">
        <f>Table132[[#This Row],[New position]]*Table132[[#This Row],[Last_Price]]</f>
        <v>200025.57544757039</v>
      </c>
      <c r="I39" s="27"/>
      <c r="J39" s="95"/>
      <c r="K39" s="95"/>
      <c r="L39"/>
      <c r="M39"/>
      <c r="N39"/>
      <c r="O39"/>
      <c r="P39"/>
      <c r="Q39"/>
    </row>
    <row r="40" spans="1:17" x14ac:dyDescent="0.25">
      <c r="A40" s="44">
        <v>9888</v>
      </c>
      <c r="B40" s="34" t="s">
        <v>14</v>
      </c>
      <c r="C40" s="94">
        <v>13.005115089514099</v>
      </c>
      <c r="D40" s="34">
        <v>15600</v>
      </c>
      <c r="E40" s="34">
        <v>15600</v>
      </c>
      <c r="F40" s="33">
        <f>Table132[[#This Row],[New position]]-Table132[[#This Row],[Old position]]</f>
        <v>0</v>
      </c>
      <c r="G40" s="34">
        <f>ROUND(Table132[[#This Row],[Target allocation ($)]]/(IF(G80&gt;0, G60,E60)*C24)*100,3)</f>
        <v>0.106</v>
      </c>
      <c r="H40" s="39">
        <f>Table132[[#This Row],[New position]]*Table132[[#This Row],[Last_Price]]</f>
        <v>202879.79539641994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857</v>
      </c>
      <c r="B41" s="44" t="s">
        <v>14</v>
      </c>
      <c r="C41" s="94">
        <v>0.81841432225063904</v>
      </c>
      <c r="D41" s="34">
        <v>1684000</v>
      </c>
      <c r="E41" s="34">
        <v>1684000</v>
      </c>
      <c r="F41" s="33">
        <f>Table132[[#This Row],[New position]]-Table132[[#This Row],[Old position]]</f>
        <v>0</v>
      </c>
      <c r="G41" s="34">
        <f>ROUND(Table132[[#This Row],[Target allocation ($)]]/(IF(G80&gt;0, G60,E60)*C24)*100,3)</f>
        <v>0.72099999999999997</v>
      </c>
      <c r="H41" s="39">
        <f>Table132[[#This Row],[New position]]*Table132[[#This Row],[Last_Price]]</f>
        <v>1378209.7186700762</v>
      </c>
      <c r="I41" s="59"/>
      <c r="J41" s="95"/>
      <c r="K41" s="96"/>
      <c r="L41"/>
      <c r="M41"/>
      <c r="N41"/>
      <c r="O41"/>
      <c r="P41"/>
      <c r="Q41"/>
    </row>
    <row r="42" spans="1:17" x14ac:dyDescent="0.25">
      <c r="A42" s="34">
        <v>883</v>
      </c>
      <c r="B42" s="34" t="s">
        <v>14</v>
      </c>
      <c r="C42" s="94">
        <v>2.2710997442455199</v>
      </c>
      <c r="D42" s="34">
        <v>2348000</v>
      </c>
      <c r="E42" s="34">
        <v>2348000</v>
      </c>
      <c r="F42" s="33">
        <f>Table132[[#This Row],[New position]]-Table132[[#This Row],[Old position]]</f>
        <v>0</v>
      </c>
      <c r="G42" s="34">
        <f>ROUND(Table132[[#This Row],[Target allocation ($)]]/(IF(G80&gt;0, G60,E60)*C24)*100,3)</f>
        <v>2.7890000000000001</v>
      </c>
      <c r="H42" s="39">
        <f>Table132[[#This Row],[New position]]*Table132[[#This Row],[Last_Price]]</f>
        <v>5332542.1994884806</v>
      </c>
      <c r="I42" s="59"/>
      <c r="J42" s="95"/>
      <c r="K42" s="95"/>
      <c r="L42"/>
      <c r="M42"/>
      <c r="N42"/>
      <c r="O42"/>
      <c r="P42"/>
      <c r="Q42"/>
    </row>
    <row r="43" spans="1:17" x14ac:dyDescent="0.25">
      <c r="A43" s="34" t="s">
        <v>68</v>
      </c>
      <c r="B43" s="34" t="s">
        <v>14</v>
      </c>
      <c r="C43" s="94">
        <v>42.7</v>
      </c>
      <c r="D43" s="34">
        <v>239592</v>
      </c>
      <c r="E43" s="34">
        <v>239592</v>
      </c>
      <c r="F43" s="33">
        <f>Table132[[#This Row],[New position]]-Table132[[#This Row],[Old position]]</f>
        <v>0</v>
      </c>
      <c r="G43" s="34">
        <f>ROUND(Table132[[#This Row],[Target allocation ($)]]/(IF(G80&gt;0, G60,E60)*C24)*100,3)</f>
        <v>5.35</v>
      </c>
      <c r="H43" s="39">
        <f>Table132[[#This Row],[New position]]*Table132[[#This Row],[Last_Price]]</f>
        <v>10230578.4</v>
      </c>
      <c r="I43" s="65"/>
      <c r="J43" s="95"/>
      <c r="K43" s="97"/>
      <c r="L43"/>
      <c r="M43"/>
      <c r="N43"/>
      <c r="O43"/>
      <c r="P43"/>
      <c r="Q43"/>
    </row>
    <row r="44" spans="1:17" x14ac:dyDescent="0.25">
      <c r="A44" s="34" t="s">
        <v>53</v>
      </c>
      <c r="B44" s="34" t="s">
        <v>14</v>
      </c>
      <c r="C44" s="46">
        <v>84.11</v>
      </c>
      <c r="D44" s="34">
        <v>1650</v>
      </c>
      <c r="E44" s="34">
        <v>1650</v>
      </c>
      <c r="F44" s="33">
        <f>Table132[[#This Row],[New position]]-Table132[[#This Row],[Old position]]</f>
        <v>0</v>
      </c>
      <c r="G44" s="34">
        <f>ROUND(Table132[[#This Row],[Target allocation ($)]]/(IF(G80&gt;0, G60,E60)*C24)*100,3)</f>
        <v>7.2999999999999995E-2</v>
      </c>
      <c r="H44" s="39">
        <f>Table132[[#This Row],[New position]]*Table132[[#This Row],[Last_Price]]</f>
        <v>138781.5</v>
      </c>
      <c r="I44" s="59"/>
      <c r="J44" s="95"/>
      <c r="K44" s="95"/>
      <c r="L44"/>
      <c r="M44"/>
      <c r="N44"/>
      <c r="O44"/>
      <c r="P44"/>
      <c r="Q44"/>
    </row>
    <row r="45" spans="1:17" x14ac:dyDescent="0.25">
      <c r="A45" s="34" t="s">
        <v>55</v>
      </c>
      <c r="B45" s="34" t="s">
        <v>14</v>
      </c>
      <c r="C45" s="46">
        <v>22.88</v>
      </c>
      <c r="D45" s="34">
        <v>13151</v>
      </c>
      <c r="E45" s="34">
        <v>13151</v>
      </c>
      <c r="F45" s="33">
        <f>Table132[[#This Row],[New position]]-Table132[[#This Row],[Old position]]</f>
        <v>0</v>
      </c>
      <c r="G45" s="34">
        <f>ROUND(Table132[[#This Row],[Target allocation ($)]]/(IF(G80&gt;0, G60,E60)*C24)*100,3)</f>
        <v>0.157</v>
      </c>
      <c r="H45" s="39">
        <f>Table132[[#This Row],[New position]]*Table132[[#This Row],[Last_Price]]</f>
        <v>300894.88</v>
      </c>
      <c r="I45" s="59"/>
      <c r="J45" s="97"/>
      <c r="K45" s="97"/>
      <c r="L45"/>
      <c r="M45"/>
      <c r="N45"/>
      <c r="O45"/>
      <c r="P45"/>
      <c r="Q45"/>
    </row>
    <row r="46" spans="1:17" x14ac:dyDescent="0.25">
      <c r="A46" s="44" t="s">
        <v>54</v>
      </c>
      <c r="B46" s="44" t="s">
        <v>14</v>
      </c>
      <c r="C46" s="46">
        <v>70.489999999999995</v>
      </c>
      <c r="D46" s="34">
        <v>21678</v>
      </c>
      <c r="E46" s="34">
        <v>21678</v>
      </c>
      <c r="F46" s="33">
        <f>Table132[[#This Row],[New position]]-Table132[[#This Row],[Old position]]</f>
        <v>0</v>
      </c>
      <c r="G46" s="34">
        <f>ROUND(Table132[[#This Row],[Target allocation ($)]]/(IF(G80&gt;0, G60,E60)*C24)*100,3)</f>
        <v>0.79900000000000004</v>
      </c>
      <c r="H46" s="39">
        <f>Table132[[#This Row],[New position]]*Table132[[#This Row],[Last_Price]]</f>
        <v>1528082.22</v>
      </c>
      <c r="I46" s="61"/>
      <c r="J46" s="97"/>
      <c r="K46" s="97"/>
      <c r="L46"/>
      <c r="M46"/>
      <c r="N46"/>
      <c r="O46"/>
      <c r="P46"/>
      <c r="Q46"/>
    </row>
    <row r="47" spans="1:17" x14ac:dyDescent="0.25">
      <c r="A47" s="44" t="s">
        <v>63</v>
      </c>
      <c r="B47" s="44" t="s">
        <v>14</v>
      </c>
      <c r="C47" s="46">
        <v>32.630000000000003</v>
      </c>
      <c r="D47" s="34">
        <v>3400</v>
      </c>
      <c r="E47" s="34">
        <v>3400</v>
      </c>
      <c r="F47" s="33">
        <f>Table132[[#This Row],[New position]]-Table132[[#This Row],[Old position]]</f>
        <v>0</v>
      </c>
      <c r="G47" s="34">
        <f>ROUND(Table132[[#This Row],[Target allocation ($)]]/(IF(G80&gt;0, G60,E60)*C24)*100,3)</f>
        <v>5.8000000000000003E-2</v>
      </c>
      <c r="H47" s="39">
        <f>Table132[[#This Row],[New position]]*Table132[[#This Row],[Last_Price]]</f>
        <v>110942.00000000001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64</v>
      </c>
      <c r="B48" s="34" t="s">
        <v>14</v>
      </c>
      <c r="C48" s="46">
        <v>105.57</v>
      </c>
      <c r="D48" s="34">
        <v>189143</v>
      </c>
      <c r="E48" s="34">
        <v>189143</v>
      </c>
      <c r="F48" s="33">
        <f>Table132[[#This Row],[New position]]-Table132[[#This Row],[Old position]]</f>
        <v>0</v>
      </c>
      <c r="G48" s="34">
        <f>ROUND(Table132[[#This Row],[Target allocation ($)]]/(IF(G80&gt;0, G60,E60)*C24)*100,3)</f>
        <v>10.443</v>
      </c>
      <c r="H48" s="39">
        <f>Table132[[#This Row],[New position]]*Table132[[#This Row],[Last_Price]]</f>
        <v>19967826.509999998</v>
      </c>
      <c r="I48" s="49"/>
      <c r="J48" s="95"/>
      <c r="K48" s="97"/>
      <c r="L48"/>
      <c r="M48"/>
      <c r="N48"/>
      <c r="O48"/>
      <c r="P48"/>
      <c r="Q48"/>
    </row>
    <row r="49" spans="1:17" x14ac:dyDescent="0.25">
      <c r="A49" s="44" t="s">
        <v>11</v>
      </c>
      <c r="B49" s="34" t="s">
        <v>14</v>
      </c>
      <c r="C49" s="46">
        <v>436.12</v>
      </c>
      <c r="D49" s="34">
        <v>50528</v>
      </c>
      <c r="E49" s="34">
        <v>50528</v>
      </c>
      <c r="F49" s="33">
        <f>Table132[[#This Row],[New position]]-Table132[[#This Row],[Old position]]</f>
        <v>0</v>
      </c>
      <c r="G49" s="34">
        <f>ROUND(Table132[[#This Row],[Target allocation ($)]]/(IF(G80&gt;0, G60,E60)*C24)*100,3)</f>
        <v>11.523999999999999</v>
      </c>
      <c r="H49" s="39">
        <f>Table132[[#This Row],[New position]]*Table132[[#This Row],[Last_Price]]</f>
        <v>22036271.359999999</v>
      </c>
      <c r="I49" s="99"/>
      <c r="J49" s="95"/>
      <c r="K49" s="97"/>
      <c r="L49"/>
      <c r="M49"/>
      <c r="N49"/>
      <c r="O49"/>
      <c r="P49"/>
      <c r="Q49"/>
    </row>
    <row r="50" spans="1:17" x14ac:dyDescent="0.25">
      <c r="A50" s="44" t="s">
        <v>31</v>
      </c>
      <c r="B50" s="34" t="s">
        <v>14</v>
      </c>
      <c r="C50" s="46">
        <v>48.17</v>
      </c>
      <c r="D50" s="34">
        <v>18500</v>
      </c>
      <c r="E50" s="34">
        <v>18500</v>
      </c>
      <c r="F50" s="33">
        <f>Table132[[#This Row],[New position]]-Table132[[#This Row],[Old position]]</f>
        <v>0</v>
      </c>
      <c r="G50" s="34">
        <f>ROUND(Table132[[#This Row],[Target allocation ($)]]/(IF(G80&gt;0, G60,E60)*C24)*100,3)</f>
        <v>0.46600000000000003</v>
      </c>
      <c r="H50" s="39">
        <f>Table132[[#This Row],[New position]]*Table132[[#This Row],[Last_Price]]</f>
        <v>891145</v>
      </c>
      <c r="I50" s="100"/>
      <c r="J50" s="95"/>
      <c r="K50" s="97"/>
      <c r="L50"/>
      <c r="M50"/>
      <c r="N50"/>
      <c r="O50"/>
      <c r="P50"/>
      <c r="Q50"/>
    </row>
    <row r="51" spans="1:17" x14ac:dyDescent="0.25">
      <c r="A51" s="44" t="s">
        <v>32</v>
      </c>
      <c r="B51" s="44" t="s">
        <v>14</v>
      </c>
      <c r="C51" s="46">
        <v>79.69</v>
      </c>
      <c r="D51" s="34">
        <v>36312</v>
      </c>
      <c r="E51" s="34">
        <v>36312</v>
      </c>
      <c r="F51" s="33">
        <f>Table132[[#This Row],[New position]]-Table132[[#This Row],[Old position]]</f>
        <v>0</v>
      </c>
      <c r="G51" s="34">
        <f>ROUND(Table132[[#This Row],[Target allocation ($)]]/(IF(G80&gt;0, G60,E60)*C24)*100,3)</f>
        <v>1.5129999999999999</v>
      </c>
      <c r="H51" s="39">
        <f>Table132[[#This Row],[New position]]*Table132[[#This Row],[Last_Price]]</f>
        <v>2893703.28</v>
      </c>
      <c r="I51" s="26"/>
      <c r="J51" s="97"/>
      <c r="K51" s="97"/>
      <c r="L51" s="42"/>
      <c r="M51"/>
      <c r="N51"/>
      <c r="O51"/>
      <c r="P51"/>
      <c r="Q51"/>
    </row>
    <row r="52" spans="1:17" x14ac:dyDescent="0.25">
      <c r="A52" s="44" t="s">
        <v>33</v>
      </c>
      <c r="B52" s="44" t="s">
        <v>14</v>
      </c>
      <c r="C52" s="46">
        <v>71.72</v>
      </c>
      <c r="D52" s="34">
        <v>38350</v>
      </c>
      <c r="E52" s="34">
        <v>38350</v>
      </c>
      <c r="F52" s="33">
        <f>Table132[[#This Row],[New position]]-Table132[[#This Row],[Old position]]</f>
        <v>0</v>
      </c>
      <c r="G52" s="34">
        <f>ROUND(Table132[[#This Row],[Target allocation ($)]]/(IF(G80&gt;0, G60,E60)*C24)*100,3)</f>
        <v>1.4379999999999999</v>
      </c>
      <c r="H52" s="39">
        <f>Table132[[#This Row],[New position]]*Table132[[#This Row],[Last_Price]]</f>
        <v>2750462</v>
      </c>
      <c r="I52" s="26"/>
      <c r="J52" s="97"/>
      <c r="K52" s="97"/>
      <c r="L52"/>
      <c r="M52"/>
      <c r="N52"/>
      <c r="O52"/>
      <c r="P52"/>
      <c r="Q52"/>
    </row>
    <row r="53" spans="1:17" x14ac:dyDescent="0.25">
      <c r="A53" s="44" t="s">
        <v>40</v>
      </c>
      <c r="B53" s="44" t="s">
        <v>14</v>
      </c>
      <c r="C53" s="46">
        <v>92.81</v>
      </c>
      <c r="D53" s="34">
        <v>63975</v>
      </c>
      <c r="E53" s="34">
        <v>63975</v>
      </c>
      <c r="F53" s="33">
        <f>Table132[[#This Row],[New position]]-Table132[[#This Row],[Old position]]</f>
        <v>0</v>
      </c>
      <c r="G53" s="34">
        <f>ROUND(Table132[[#This Row],[Target allocation ($)]]/(IF(G80&gt;0, G60,E60)*C24)*100,3)</f>
        <v>3.105</v>
      </c>
      <c r="H53" s="39">
        <f>Table132[[#This Row],[New position]]*Table132[[#This Row],[Last_Price]]</f>
        <v>5937519.75</v>
      </c>
      <c r="I53" s="26"/>
      <c r="J53" s="95"/>
      <c r="K53" s="97"/>
      <c r="L53"/>
      <c r="M53"/>
      <c r="N53"/>
      <c r="O53"/>
      <c r="P53"/>
      <c r="Q53"/>
    </row>
    <row r="54" spans="1:17" x14ac:dyDescent="0.25">
      <c r="A54" s="44" t="s">
        <v>43</v>
      </c>
      <c r="B54" s="44" t="s">
        <v>14</v>
      </c>
      <c r="C54" s="46">
        <v>107.63</v>
      </c>
      <c r="D54" s="34">
        <v>26725</v>
      </c>
      <c r="E54" s="34">
        <v>26725</v>
      </c>
      <c r="F54" s="33">
        <f>Table132[[#This Row],[New position]]-Table132[[#This Row],[Old position]]</f>
        <v>0</v>
      </c>
      <c r="G54" s="34">
        <f>ROUND(Table132[[#This Row],[Target allocation ($)]]/(IF(G80&gt;0, G60,E60)*C24)*100,3)</f>
        <v>1.504</v>
      </c>
      <c r="H54" s="39">
        <f>Table132[[#This Row],[New position]]*Table132[[#This Row],[Last_Price]]</f>
        <v>2876411.75</v>
      </c>
      <c r="I54" s="53"/>
      <c r="J54" s="97"/>
      <c r="K54" s="97"/>
      <c r="L54"/>
      <c r="M54"/>
      <c r="N54"/>
      <c r="O54"/>
      <c r="P54"/>
      <c r="Q54"/>
    </row>
    <row r="55" spans="1:17" x14ac:dyDescent="0.25">
      <c r="A55" s="44" t="s">
        <v>48</v>
      </c>
      <c r="B55" s="44" t="s">
        <v>14</v>
      </c>
      <c r="C55" s="46">
        <v>36.32</v>
      </c>
      <c r="D55" s="34">
        <v>78324</v>
      </c>
      <c r="E55" s="34">
        <v>78324</v>
      </c>
      <c r="F55" s="33">
        <f>Table132[[#This Row],[New position]]-Table132[[#This Row],[Old position]]</f>
        <v>0</v>
      </c>
      <c r="G55" s="34">
        <f>ROUND(Table132[[#This Row],[Target allocation ($)]]/(IF(G80&gt;0, G60,E60)*C24)*100,3)</f>
        <v>1.488</v>
      </c>
      <c r="H55" s="39">
        <f>Table132[[#This Row],[New position]]*Table132[[#This Row],[Last_Price]]</f>
        <v>2844727.68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67</v>
      </c>
      <c r="B56" s="44" t="s">
        <v>14</v>
      </c>
      <c r="C56" s="46">
        <v>47.23</v>
      </c>
      <c r="D56" s="34">
        <v>21013</v>
      </c>
      <c r="E56" s="34">
        <v>21013</v>
      </c>
      <c r="F56" s="33">
        <f>Table132[[#This Row],[New position]]-Table132[[#This Row],[Old position]]</f>
        <v>0</v>
      </c>
      <c r="G56" s="34">
        <f>ROUND(Table132[[#This Row],[Target allocation ($)]]/(IF(G80&gt;0, G60,E60)*C24)*100,3)</f>
        <v>0.51900000000000002</v>
      </c>
      <c r="H56" s="39">
        <f>Table132[[#This Row],[New position]]*Table132[[#This Row],[Last_Price]]</f>
        <v>992443.99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44</v>
      </c>
      <c r="B57" s="44" t="s">
        <v>14</v>
      </c>
      <c r="C57" s="46">
        <v>198.86</v>
      </c>
      <c r="D57" s="34">
        <v>38544</v>
      </c>
      <c r="E57" s="34">
        <v>38544</v>
      </c>
      <c r="F57" s="33">
        <f>Table132[[#This Row],[New position]]-Table132[[#This Row],[Old position]]</f>
        <v>0</v>
      </c>
      <c r="G57" s="34">
        <f>ROUND(Table132[[#This Row],[Target allocation ($)]]/(IF(G80&gt;0, G60,E60)*C24)*100,3)</f>
        <v>4.0090000000000003</v>
      </c>
      <c r="H57" s="39">
        <f>Table132[[#This Row],[New position]]*Table132[[#This Row],[Last_Price]]</f>
        <v>7664859.8400000008</v>
      </c>
      <c r="I57" s="62"/>
      <c r="J57" s="97"/>
      <c r="K57" s="97"/>
      <c r="L57"/>
      <c r="M57"/>
      <c r="N57"/>
      <c r="O57"/>
      <c r="P57"/>
      <c r="Q57"/>
    </row>
    <row r="58" spans="1:17" x14ac:dyDescent="0.25">
      <c r="A58" s="44"/>
      <c r="B58" s="44"/>
      <c r="C58" s="46"/>
      <c r="D58" s="34"/>
      <c r="E58" s="34"/>
      <c r="F58" s="31"/>
      <c r="G58" s="34"/>
      <c r="H58" s="46"/>
      <c r="I58" s="48"/>
      <c r="J58" s="69"/>
      <c r="K58" s="83"/>
      <c r="L58"/>
      <c r="M58"/>
      <c r="N58"/>
      <c r="O58"/>
      <c r="P58"/>
      <c r="Q58"/>
    </row>
    <row r="59" spans="1:17" x14ac:dyDescent="0.25">
      <c r="A59" s="44"/>
      <c r="B59" s="44"/>
      <c r="C59" s="45"/>
      <c r="D59" s="35"/>
      <c r="E59" s="54" t="s">
        <v>41</v>
      </c>
      <c r="F59" s="31"/>
      <c r="G59" s="55" t="s">
        <v>42</v>
      </c>
      <c r="H59" s="46"/>
      <c r="I59" s="48"/>
      <c r="J59" s="69"/>
      <c r="K59" s="83"/>
      <c r="L59"/>
      <c r="M59"/>
      <c r="N59"/>
      <c r="O59"/>
      <c r="P59"/>
      <c r="Q59"/>
    </row>
    <row r="60" spans="1:17" ht="30" x14ac:dyDescent="0.25">
      <c r="A60" s="44" t="s">
        <v>30</v>
      </c>
      <c r="B60" s="44"/>
      <c r="C60" s="45"/>
      <c r="D60" s="35"/>
      <c r="E60" s="34">
        <f xml:space="preserve"> IF(G80&gt;0, (C25+ABS(G80*G60))/C21, C25/C21)</f>
        <v>4</v>
      </c>
      <c r="F60" s="31"/>
      <c r="G60" s="34">
        <v>4</v>
      </c>
      <c r="H60" s="46"/>
      <c r="I60" s="48"/>
      <c r="J60" s="101" t="s">
        <v>75</v>
      </c>
      <c r="K60" s="82" t="s">
        <v>76</v>
      </c>
      <c r="L60"/>
      <c r="M60"/>
      <c r="N60"/>
      <c r="O60"/>
      <c r="P60"/>
      <c r="Q60"/>
    </row>
    <row r="61" spans="1:17" ht="15" customHeight="1" x14ac:dyDescent="0.25">
      <c r="A61" s="34" t="s">
        <v>34</v>
      </c>
      <c r="B61" s="34"/>
      <c r="C61" s="34"/>
      <c r="D61" s="47" t="str">
        <f>Table132[[#This Row],[Symbol]]</f>
        <v>SingleStocks</v>
      </c>
      <c r="E61" s="34">
        <f>ROUND(SUM(0)/100, 3)</f>
        <v>0</v>
      </c>
      <c r="F61" s="47" t="str">
        <f>Table132[[#This Row],[Symbol]]</f>
        <v>SingleStocks</v>
      </c>
      <c r="G61" s="34">
        <f>SUM(0)/(G60*C24)</f>
        <v>0</v>
      </c>
      <c r="H61" s="34"/>
      <c r="I61" s="27"/>
      <c r="J61" s="68" t="s">
        <v>77</v>
      </c>
      <c r="K61" s="104">
        <f>1-SUM(K62:K63)</f>
        <v>0.58020039331072093</v>
      </c>
      <c r="L61"/>
      <c r="M61"/>
      <c r="N61"/>
      <c r="O61"/>
      <c r="P61"/>
      <c r="Q61"/>
    </row>
    <row r="62" spans="1:17" ht="15" customHeight="1" x14ac:dyDescent="0.25">
      <c r="A62" s="44" t="s">
        <v>58</v>
      </c>
      <c r="B62" s="44"/>
      <c r="C62" s="45"/>
      <c r="D62" s="47" t="str">
        <f>Table132[[#This Row],[Symbol]]</f>
        <v>Healthcare</v>
      </c>
      <c r="E62" s="34">
        <f>ROUND(SUM(G28:G28)/100, 3)</f>
        <v>0.03</v>
      </c>
      <c r="F62" s="47" t="str">
        <f>Table132[[#This Row],[Symbol]]</f>
        <v>Healthcare</v>
      </c>
      <c r="G62" s="34">
        <f>SUM(H28:H28)/(G60*C24)</f>
        <v>3.0412883843039137E-2</v>
      </c>
      <c r="H62" s="46"/>
      <c r="I62" s="27"/>
      <c r="J62" s="68" t="s">
        <v>78</v>
      </c>
      <c r="K62" s="102">
        <f>(SUM(H37:H48)+H32)/C25</f>
        <v>0.36832379241197388</v>
      </c>
      <c r="L62"/>
      <c r="M62"/>
      <c r="N62"/>
      <c r="O62"/>
      <c r="P62"/>
      <c r="Q62"/>
    </row>
    <row r="63" spans="1:17" ht="15" customHeight="1" x14ac:dyDescent="0.25">
      <c r="A63" s="44" t="s">
        <v>92</v>
      </c>
      <c r="B63" s="44"/>
      <c r="C63" s="45"/>
      <c r="D63" s="47" t="str">
        <f>Table132[[#This Row],[Symbol]]</f>
        <v>Financials</v>
      </c>
      <c r="E63" s="34">
        <f>ROUND(SUM(G29:G29)/100, 3)</f>
        <v>2.5999999999999999E-2</v>
      </c>
      <c r="F63" s="47" t="str">
        <f>Table132[[#This Row],[Symbol]]</f>
        <v>Financials</v>
      </c>
      <c r="G63" s="51">
        <f>SUM(H29:H29)/(G60*C24)</f>
        <v>2.5995119738358254E-2</v>
      </c>
      <c r="H63" s="46"/>
      <c r="I63" s="106"/>
      <c r="J63" s="68" t="s">
        <v>79</v>
      </c>
      <c r="K63" s="103">
        <f>(H57+H50)/C25</f>
        <v>5.1475814277305201E-2</v>
      </c>
      <c r="L63"/>
      <c r="M63"/>
      <c r="N63"/>
      <c r="O63"/>
      <c r="P63"/>
      <c r="Q63"/>
    </row>
    <row r="64" spans="1:17" ht="15" customHeight="1" x14ac:dyDescent="0.25">
      <c r="A64" s="44" t="s">
        <v>93</v>
      </c>
      <c r="B64" s="44"/>
      <c r="C64" s="45"/>
      <c r="D64" s="47" t="str">
        <f>Table132[[#This Row],[Symbol]]</f>
        <v>Techs</v>
      </c>
      <c r="E64" s="51">
        <f>ROUND(SUM(G30:G30)/100, 3)</f>
        <v>2.5999999999999999E-2</v>
      </c>
      <c r="F64" s="47" t="str">
        <f>Table132[[#This Row],[Symbol]]</f>
        <v>Techs</v>
      </c>
      <c r="G64" s="34">
        <f>SUM(H30:H30)/(G60*C24)</f>
        <v>2.5543322631160228E-2</v>
      </c>
      <c r="H64" s="46"/>
      <c r="I64" s="106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50</v>
      </c>
      <c r="B65" s="44"/>
      <c r="C65" s="45"/>
      <c r="D65" s="47" t="str">
        <f>Table132[[#This Row],[Symbol]]</f>
        <v>Semiconductor</v>
      </c>
      <c r="E65" s="34">
        <f>ROUND(SUM(G31:G33)/100, 3)</f>
        <v>0.27900000000000003</v>
      </c>
      <c r="F65" s="47" t="str">
        <f>Table132[[#This Row],[Symbol]]</f>
        <v>Semiconductor</v>
      </c>
      <c r="G65" s="51">
        <f>SUM(H31:H33)/(G60*C24)</f>
        <v>0.27857555887896268</v>
      </c>
      <c r="H65" s="46"/>
      <c r="I65" s="52"/>
      <c r="K65" s="84"/>
      <c r="L65"/>
      <c r="M65"/>
      <c r="N65"/>
      <c r="O65"/>
      <c r="P65"/>
      <c r="Q65"/>
    </row>
    <row r="66" spans="1:17" ht="15.75" customHeight="1" x14ac:dyDescent="0.25">
      <c r="A66" s="44" t="s">
        <v>51</v>
      </c>
      <c r="B66" s="44"/>
      <c r="C66" s="45"/>
      <c r="D66" s="47" t="str">
        <f>Table132[[#This Row],[Symbol]]</f>
        <v>Small Cap</v>
      </c>
      <c r="E66" s="51">
        <f>ROUND(SUM(G34:G36)/100, 3)</f>
        <v>4.2999999999999997E-2</v>
      </c>
      <c r="F66" s="47" t="str">
        <f>Table132[[#This Row],[Symbol]]</f>
        <v>Small Cap</v>
      </c>
      <c r="G66" s="51">
        <f>SUM(H34:H36)/(G60*C24)</f>
        <v>4.3011849901870548E-2</v>
      </c>
      <c r="H66" s="46"/>
      <c r="I66" s="52"/>
      <c r="J66" s="70"/>
      <c r="K66" s="84"/>
      <c r="L66"/>
      <c r="M66"/>
      <c r="N66"/>
      <c r="O66"/>
      <c r="P66"/>
      <c r="Q66"/>
    </row>
    <row r="67" spans="1:17" ht="15.75" customHeight="1" x14ac:dyDescent="0.25">
      <c r="A67" s="44" t="s">
        <v>45</v>
      </c>
      <c r="B67" s="44"/>
      <c r="C67" s="45"/>
      <c r="D67" s="47" t="str">
        <f>Table132[[#This Row],[Symbol]]</f>
        <v>S&amp;P</v>
      </c>
      <c r="E67" s="34">
        <f>ROUND(0/100, 3)</f>
        <v>0</v>
      </c>
      <c r="F67" s="47" t="str">
        <f>Table132[[#This Row],[Symbol]]</f>
        <v>S&amp;P</v>
      </c>
      <c r="G67" s="34">
        <f>SUM(0)/(G60*C24)</f>
        <v>0</v>
      </c>
      <c r="H67" s="46"/>
      <c r="I67" s="52"/>
      <c r="J67" s="70"/>
      <c r="K67" s="84"/>
      <c r="L67"/>
      <c r="M67"/>
      <c r="N67"/>
      <c r="O67"/>
      <c r="P67"/>
      <c r="Q67"/>
    </row>
    <row r="68" spans="1:17" ht="15.75" customHeight="1" x14ac:dyDescent="0.25">
      <c r="A68" s="44" t="s">
        <v>46</v>
      </c>
      <c r="B68" s="44"/>
      <c r="C68" s="45"/>
      <c r="D68" s="47" t="str">
        <f>Table132[[#This Row],[Symbol]]</f>
        <v>Dow Jones</v>
      </c>
      <c r="E68" s="34">
        <f>ROUND(0/100, 3)</f>
        <v>0</v>
      </c>
      <c r="F68" s="47" t="str">
        <f>Table132[[#This Row],[Symbol]]</f>
        <v>Dow Jones</v>
      </c>
      <c r="G68" s="51">
        <f>SUM(0)/(G60*C24)</f>
        <v>0</v>
      </c>
      <c r="H68" s="46"/>
      <c r="I68" s="52"/>
      <c r="J68" s="70"/>
      <c r="K68" s="84"/>
      <c r="L68"/>
      <c r="M68"/>
      <c r="N68"/>
      <c r="O68"/>
      <c r="P68"/>
      <c r="Q68"/>
    </row>
    <row r="69" spans="1:17" ht="14.25" customHeight="1" x14ac:dyDescent="0.25">
      <c r="A69" s="44" t="s">
        <v>49</v>
      </c>
      <c r="B69" s="44"/>
      <c r="C69" s="45"/>
      <c r="D69" s="47" t="str">
        <f>Table132[[#This Row],[Symbol]]</f>
        <v>Int Stocks</v>
      </c>
      <c r="E69" s="34">
        <f>ROUND(SUM(G37:G45)/100, 3)</f>
        <v>9.7000000000000003E-2</v>
      </c>
      <c r="F69" s="47" t="str">
        <f>Table132[[#This Row],[Symbol]]</f>
        <v>Int Stocks</v>
      </c>
      <c r="G69" s="34">
        <f>SUM(H37:H45)/(G60*C24)</f>
        <v>9.7048590672015322E-2</v>
      </c>
      <c r="H69" s="46"/>
      <c r="I69" s="27" t="s">
        <v>80</v>
      </c>
      <c r="J69" s="70"/>
      <c r="K69" s="84"/>
      <c r="L69"/>
      <c r="M69"/>
      <c r="N69"/>
      <c r="O69"/>
      <c r="P69"/>
      <c r="Q69"/>
    </row>
    <row r="70" spans="1:17" ht="14.25" customHeight="1" x14ac:dyDescent="0.25">
      <c r="A70" s="44" t="s">
        <v>65</v>
      </c>
      <c r="B70" s="44"/>
      <c r="C70" s="45"/>
      <c r="D70" s="47" t="str">
        <f>Table132[[#This Row],[Symbol]]</f>
        <v>JP Stocks</v>
      </c>
      <c r="E70" s="34">
        <f>ROUND(SUM(G46:G48)/100, 3)</f>
        <v>0.113</v>
      </c>
      <c r="F70" s="47" t="str">
        <f>Table132[[#This Row],[Symbol]]</f>
        <v>JP Stocks</v>
      </c>
      <c r="G70" s="51">
        <f>SUM(H46:H48)/(G60*C24)</f>
        <v>0.11299782551291492</v>
      </c>
      <c r="H70" s="46"/>
      <c r="I70" s="63"/>
      <c r="J70" s="72"/>
      <c r="K70" s="86"/>
      <c r="L70"/>
      <c r="M70"/>
      <c r="N70"/>
      <c r="O70"/>
      <c r="P70"/>
      <c r="Q70"/>
    </row>
    <row r="71" spans="1:17" ht="15.75" customHeight="1" x14ac:dyDescent="0.25">
      <c r="A71" s="44" t="s">
        <v>73</v>
      </c>
      <c r="B71" s="44"/>
      <c r="C71" s="45"/>
      <c r="D71" s="47" t="str">
        <f>Table132[[#This Row],[Symbol]]</f>
        <v>Nasdaq</v>
      </c>
      <c r="E71" s="51">
        <f>ROUND(SUM(G49)/100, 3)</f>
        <v>0.115</v>
      </c>
      <c r="F71" s="47" t="str">
        <f>Table132[[#This Row],[Symbol]]</f>
        <v>Nasdaq</v>
      </c>
      <c r="G71" s="51">
        <f>SUM(H49)/(G60*C24)</f>
        <v>0.11524357608650562</v>
      </c>
      <c r="H71" s="46"/>
      <c r="I71" s="27"/>
      <c r="J71" s="68"/>
      <c r="K71" s="82"/>
      <c r="L71"/>
      <c r="M71"/>
      <c r="N71"/>
      <c r="O71"/>
      <c r="P71"/>
      <c r="Q71"/>
    </row>
    <row r="72" spans="1:17" ht="15.75" customHeight="1" x14ac:dyDescent="0.25">
      <c r="A72" s="58" t="s">
        <v>52</v>
      </c>
      <c r="B72" s="44"/>
      <c r="C72" s="45"/>
      <c r="D72" s="47" t="str">
        <f>Table132[[#This Row],[Symbol]]</f>
        <v>Regional Bank</v>
      </c>
      <c r="E72" s="51">
        <f>ROUND(SUM(0)/100, 3)</f>
        <v>0</v>
      </c>
      <c r="F72" s="47" t="str">
        <f>Table132[[#This Row],[Symbol]]</f>
        <v>Regional Bank</v>
      </c>
      <c r="G72" s="34">
        <f>SUM(0)/(G60*C24)</f>
        <v>0</v>
      </c>
      <c r="H72" s="46"/>
      <c r="I72" s="27"/>
      <c r="J72" s="68"/>
      <c r="K72" s="82"/>
      <c r="L72"/>
      <c r="M72"/>
      <c r="N72"/>
      <c r="O72"/>
      <c r="P72"/>
      <c r="Q72"/>
    </row>
    <row r="73" spans="1:17" ht="15.75" customHeight="1" x14ac:dyDescent="0.25">
      <c r="A73" s="44" t="s">
        <v>56</v>
      </c>
      <c r="B73" s="44"/>
      <c r="C73" s="45"/>
      <c r="D73" s="47" t="str">
        <f>Table132[[#This Row],[Symbol]]</f>
        <v>Short</v>
      </c>
      <c r="E73" s="34">
        <f>ROUND(SUM(0)/100, 3)</f>
        <v>0</v>
      </c>
      <c r="F73" s="47" t="str">
        <f>Table132[[#This Row],[Symbol]]</f>
        <v>Short</v>
      </c>
      <c r="G73" s="51">
        <f>SUM(0)/(G60*C24)</f>
        <v>0</v>
      </c>
      <c r="H73" s="46"/>
      <c r="I73" s="59"/>
      <c r="J73" s="71"/>
      <c r="K73" s="85"/>
      <c r="L73"/>
      <c r="M73"/>
      <c r="N73"/>
      <c r="O73"/>
      <c r="P73"/>
      <c r="Q73"/>
    </row>
    <row r="74" spans="1:17" ht="14.25" customHeight="1" x14ac:dyDescent="0.25">
      <c r="A74" s="34" t="s">
        <v>27</v>
      </c>
      <c r="B74" s="44"/>
      <c r="C74" s="45"/>
      <c r="D74" s="47" t="str">
        <f>Table132[[#This Row],[Symbol]]</f>
        <v>Bonds</v>
      </c>
      <c r="E74" s="34">
        <f>ROUND((SUM(G51:G56))/100, 3)</f>
        <v>9.6000000000000002E-2</v>
      </c>
      <c r="F74" s="47" t="str">
        <f>Table132[[#This Row],[Symbol]]</f>
        <v>Bonds</v>
      </c>
      <c r="G74" s="51">
        <f>(SUM(H51:H56))/(G60*C24)</f>
        <v>9.5679170363993052E-2</v>
      </c>
      <c r="H74" s="46"/>
      <c r="I74" s="27"/>
      <c r="J74" s="68"/>
      <c r="K74" s="82"/>
      <c r="L74"/>
      <c r="M74"/>
      <c r="N74"/>
      <c r="O74"/>
      <c r="P74"/>
      <c r="Q74"/>
    </row>
    <row r="75" spans="1:17" ht="14.25" customHeight="1" x14ac:dyDescent="0.25">
      <c r="A75" s="44" t="s">
        <v>60</v>
      </c>
      <c r="B75" s="44"/>
      <c r="C75" s="45"/>
      <c r="D75" s="47" t="str">
        <f>Table132[[#This Row],[Symbol]]</f>
        <v>Core</v>
      </c>
      <c r="E75" s="34">
        <f>ROUND((SUM(0))/100, 3)</f>
        <v>0</v>
      </c>
      <c r="F75" s="47" t="str">
        <f>Table132[[#This Row],[Symbol]]</f>
        <v>Core</v>
      </c>
      <c r="G75" s="34">
        <f>(SUM(0))/(G60*C24)</f>
        <v>0</v>
      </c>
      <c r="H75" s="46"/>
      <c r="I75" s="60"/>
      <c r="J75" s="73"/>
      <c r="K75" s="87"/>
      <c r="L75"/>
      <c r="M75"/>
      <c r="N75"/>
      <c r="O75"/>
      <c r="P75"/>
      <c r="Q75"/>
    </row>
    <row r="76" spans="1:17" ht="14.25" customHeight="1" x14ac:dyDescent="0.25">
      <c r="A76" s="44" t="s">
        <v>36</v>
      </c>
      <c r="B76" s="34"/>
      <c r="C76" s="34"/>
      <c r="D76" s="47" t="str">
        <f>Table132[[#This Row],[Symbol]]</f>
        <v>Gold</v>
      </c>
      <c r="E76" s="34">
        <f>ROUND(SUM(G57)/100,3)</f>
        <v>0.04</v>
      </c>
      <c r="F76" s="47" t="str">
        <f>Table132[[#This Row],[Symbol]]</f>
        <v>Gold</v>
      </c>
      <c r="G76" s="51">
        <f>SUM(H57)/(G60*C24)</f>
        <v>4.0085087160745575E-2</v>
      </c>
      <c r="H76" s="34"/>
      <c r="I76" s="28"/>
      <c r="J76" s="74"/>
      <c r="K76" s="81"/>
      <c r="L76"/>
      <c r="M76"/>
      <c r="N76"/>
      <c r="O76"/>
      <c r="P76"/>
      <c r="Q76"/>
    </row>
    <row r="77" spans="1:17" ht="15" customHeight="1" x14ac:dyDescent="0.25">
      <c r="A77" s="34" t="s">
        <v>28</v>
      </c>
      <c r="B77" s="34"/>
      <c r="C77" s="34"/>
      <c r="D77" s="47" t="str">
        <f>Table132[[#This Row],[Symbol]]</f>
        <v>Commodities</v>
      </c>
      <c r="E77" s="34">
        <f>ROUND(SUM(G50)/100,3)</f>
        <v>5.0000000000000001E-3</v>
      </c>
      <c r="F77" s="47" t="str">
        <f>Table132[[#This Row],[Symbol]]</f>
        <v>Commodities</v>
      </c>
      <c r="G77" s="34">
        <f>SUM(H50)/(G60*C24)</f>
        <v>4.6604407312766478E-3</v>
      </c>
      <c r="H77" s="34"/>
      <c r="I77" s="29"/>
      <c r="J77" s="75"/>
      <c r="K77" s="88"/>
      <c r="L77"/>
      <c r="M77"/>
      <c r="N77"/>
      <c r="O77"/>
      <c r="P77"/>
      <c r="Q77"/>
    </row>
    <row r="78" spans="1:17" ht="14.25" customHeight="1" x14ac:dyDescent="0.25">
      <c r="A78" s="44" t="s">
        <v>35</v>
      </c>
      <c r="B78" s="44"/>
      <c r="C78" s="45"/>
      <c r="D78" s="47" t="str">
        <f>Table132[[#This Row],[Symbol]]</f>
        <v>Crypto</v>
      </c>
      <c r="E78" s="51">
        <f>ROUND(SUM(0)/100,3)</f>
        <v>0</v>
      </c>
      <c r="F78" s="47" t="str">
        <f>Table132[[#This Row],[Symbol]]</f>
        <v>Crypto</v>
      </c>
      <c r="G78" s="51">
        <f>SUM(0)/(G60*C24)</f>
        <v>0</v>
      </c>
      <c r="H78" s="46"/>
      <c r="I78" s="50"/>
      <c r="J78" s="76"/>
      <c r="K78" s="89"/>
      <c r="L78"/>
      <c r="M78"/>
      <c r="N78"/>
      <c r="O78"/>
      <c r="P78"/>
      <c r="Q78"/>
    </row>
    <row r="79" spans="1:17" ht="14.25" customHeight="1" x14ac:dyDescent="0.25">
      <c r="A79" s="34" t="s">
        <v>23</v>
      </c>
      <c r="B79" s="34"/>
      <c r="C79" s="34"/>
      <c r="D79" s="47" t="str">
        <f>Table132[[#This Row],[Symbol]]</f>
        <v>Cash</v>
      </c>
      <c r="E79" s="34">
        <f>1-SUM(E61:E78)</f>
        <v>0.13</v>
      </c>
      <c r="F79" s="47" t="str">
        <f>Table132[[#This Row],[Symbol]]</f>
        <v>Cash</v>
      </c>
      <c r="G79" s="34">
        <f>1-SUM(G61:G78)</f>
        <v>0.13074657447915794</v>
      </c>
      <c r="H79" s="34"/>
      <c r="I79" s="27"/>
      <c r="J79" s="68"/>
      <c r="K79" s="82"/>
      <c r="L79"/>
      <c r="M79"/>
      <c r="N79"/>
      <c r="O79"/>
      <c r="P79"/>
      <c r="Q79"/>
    </row>
    <row r="80" spans="1:17" x14ac:dyDescent="0.25">
      <c r="A80" s="25" t="s">
        <v>29</v>
      </c>
      <c r="B80" s="25"/>
      <c r="C80" s="32"/>
      <c r="D80" s="31"/>
      <c r="E80" s="39">
        <f>C24*E79</f>
        <v>6214479.3100000005</v>
      </c>
      <c r="F80" s="31"/>
      <c r="G80" s="34">
        <f>C24*G79</f>
        <v>6250168.3227238543</v>
      </c>
      <c r="H80" s="39"/>
      <c r="I80" s="30"/>
      <c r="J80" s="77"/>
      <c r="K80" s="90"/>
      <c r="L80"/>
      <c r="M80"/>
      <c r="N80"/>
      <c r="O80"/>
      <c r="P80"/>
      <c r="Q80"/>
    </row>
    <row r="81" spans="1:17" x14ac:dyDescent="0.25">
      <c r="A81" s="25"/>
      <c r="B81" s="25"/>
      <c r="C81" s="32"/>
      <c r="D81" s="25"/>
      <c r="E81" s="25"/>
      <c r="F81" s="25"/>
      <c r="G81" s="34"/>
      <c r="H81" s="39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/>
      <c r="B82" s="25"/>
      <c r="C82" s="32"/>
      <c r="D82" s="25"/>
      <c r="E82" s="25"/>
      <c r="F82" s="31"/>
      <c r="G82" s="34"/>
      <c r="H82" s="39"/>
      <c r="I82" s="27"/>
      <c r="J82" s="68"/>
      <c r="K82" s="82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31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0"/>
      <c r="B84" s="5" t="s">
        <v>21</v>
      </c>
      <c r="D84" s="1"/>
      <c r="E84" s="5" t="s">
        <v>20</v>
      </c>
      <c r="F84" s="1"/>
      <c r="G84" s="5"/>
      <c r="H84" s="40" t="s">
        <v>2</v>
      </c>
      <c r="I84" s="4"/>
      <c r="J84" s="78"/>
      <c r="K84" s="91"/>
      <c r="L84"/>
      <c r="M84"/>
      <c r="N84"/>
      <c r="O84"/>
      <c r="P84"/>
      <c r="Q84"/>
    </row>
    <row r="85" spans="1:17" x14ac:dyDescent="0.25">
      <c r="B85" s="5" t="s">
        <v>24</v>
      </c>
      <c r="D85" s="1"/>
      <c r="E85" s="5" t="s">
        <v>24</v>
      </c>
      <c r="F85" s="1"/>
      <c r="G85" s="5"/>
      <c r="H85" s="40" t="s">
        <v>3</v>
      </c>
      <c r="L85"/>
      <c r="M85"/>
      <c r="N85"/>
      <c r="O85"/>
      <c r="P85"/>
      <c r="Q85"/>
    </row>
    <row r="86" spans="1:17" x14ac:dyDescent="0.25">
      <c r="B86" s="3"/>
      <c r="C86"/>
      <c r="D86" s="1"/>
      <c r="E86" s="3"/>
      <c r="F86" s="19"/>
      <c r="G86" s="3"/>
      <c r="H86" s="41"/>
      <c r="L86"/>
      <c r="M86"/>
      <c r="N86"/>
      <c r="O86"/>
      <c r="P86"/>
      <c r="Q86"/>
    </row>
    <row r="87" spans="1:17" x14ac:dyDescent="0.25">
      <c r="C87"/>
      <c r="L87"/>
      <c r="M87"/>
      <c r="N87"/>
      <c r="O87"/>
      <c r="P87"/>
      <c r="Q87"/>
    </row>
    <row r="88" spans="1:17" x14ac:dyDescent="0.25">
      <c r="L88"/>
      <c r="M88"/>
      <c r="N88"/>
      <c r="O88"/>
      <c r="P88"/>
      <c r="Q88"/>
    </row>
    <row r="89" spans="1:17" x14ac:dyDescent="0.25"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2024-03-19T09:55:40Z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