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325" documentId="14_{A48F4B07-3EF3-43E5-91B2-4CA340E6013A}" xr6:coauthVersionLast="47" xr6:coauthVersionMax="47" xr10:uidLastSave="{3D0EA171-7D72-4627-B129-44AF318EDFA7}"/>
  <bookViews>
    <workbookView xWindow="28680" yWindow="6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G30" i="3" l="1"/>
  <c r="E64" i="3" s="1"/>
  <c r="G29" i="3"/>
  <c r="E63" i="3" s="1"/>
  <c r="G28" i="3"/>
  <c r="E62" i="3" s="1"/>
  <c r="G32" i="3"/>
  <c r="G33" i="3"/>
  <c r="E60" i="3"/>
  <c r="G36" i="3"/>
  <c r="G34" i="3"/>
  <c r="G35" i="3"/>
  <c r="G50" i="3"/>
  <c r="E77" i="3" s="1"/>
  <c r="G49" i="3"/>
  <c r="E71" i="3" s="1"/>
  <c r="G48" i="3"/>
  <c r="G31" i="3"/>
  <c r="G46" i="3"/>
  <c r="G47" i="3"/>
  <c r="G51" i="3"/>
  <c r="G37" i="3"/>
  <c r="G55" i="3"/>
  <c r="G41" i="3"/>
  <c r="G53" i="3"/>
  <c r="G38" i="3"/>
  <c r="G54" i="3"/>
  <c r="G52" i="3"/>
  <c r="G44" i="3"/>
  <c r="E65" i="3" l="1"/>
  <c r="E66" i="3"/>
  <c r="G40" i="3"/>
  <c r="G57" i="3"/>
  <c r="E76" i="3" s="1"/>
  <c r="G56" i="3"/>
  <c r="E74" i="3" s="1"/>
  <c r="G39" i="3"/>
  <c r="G43" i="3"/>
  <c r="G45" i="3"/>
  <c r="G42" i="3"/>
  <c r="E70" i="3"/>
  <c r="E69" i="3" l="1"/>
  <c r="E79" i="3" s="1"/>
  <c r="E80" i="3" s="1"/>
</calcChain>
</file>

<file path=xl/sharedStrings.xml><?xml version="1.0" encoding="utf-8"?>
<sst xmlns="http://schemas.openxmlformats.org/spreadsheetml/2006/main" count="132" uniqueCount="97">
  <si>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</si>
  <si>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</si>
  <si>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</si>
  <si>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</si>
  <si>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</si>
  <si>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</si>
  <si>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</si>
  <si>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</si>
  <si>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</si>
  <si>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</si>
  <si>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</si>
  <si>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</si>
  <si>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</si>
  <si>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</si>
  <si>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</si>
  <si>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</si>
  <si>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</si>
  <si>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</si>
  <si>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</si>
  <si>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</si>
  <si>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</si>
  <si>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</si>
  <si>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</si>
  <si>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</si>
  <si>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</si>
  <si>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</si>
  <si>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</si>
  <si>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</si>
  <si>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</si>
  <si>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</si>
  <si>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</si>
  <si>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</si>
  <si>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</si>
  <si>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</si>
  <si>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</si>
  <si>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</si>
  <si>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</si>
  <si>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</si>
  <si>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</si>
  <si>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</si>
  <si>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</si>
  <si>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</si>
  <si>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</si>
  <si>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</si>
  <si>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</si>
  <si>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</si>
  <si>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</si>
  <si>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</si>
  <si>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</si>
  <si>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</si>
  <si>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</si>
  <si>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Small Cap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</si>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</sst>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Small Cap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3.5999999999999997E-2</c:v>
                </c:pt>
                <c:pt idx="2">
                  <c:v>3.1E-2</c:v>
                </c:pt>
                <c:pt idx="3">
                  <c:v>3.1E-2</c:v>
                </c:pt>
                <c:pt idx="4">
                  <c:v>0.28899999999999998</c:v>
                </c:pt>
                <c:pt idx="5">
                  <c:v>4.5999999999999999E-2</c:v>
                </c:pt>
                <c:pt idx="6">
                  <c:v>0</c:v>
                </c:pt>
                <c:pt idx="7">
                  <c:v>0</c:v>
                </c:pt>
                <c:pt idx="8">
                  <c:v>9.7000000000000003E-2</c:v>
                </c:pt>
                <c:pt idx="9">
                  <c:v>0.115</c:v>
                </c:pt>
                <c:pt idx="10">
                  <c:v>0.11600000000000001</c:v>
                </c:pt>
                <c:pt idx="11">
                  <c:v>0</c:v>
                </c:pt>
                <c:pt idx="12">
                  <c:v>0</c:v>
                </c:pt>
                <c:pt idx="13">
                  <c:v>9.6000000000000002E-2</c:v>
                </c:pt>
                <c:pt idx="14">
                  <c:v>0</c:v>
                </c:pt>
                <c:pt idx="15">
                  <c:v>0.04</c:v>
                </c:pt>
                <c:pt idx="16">
                  <c:v>5.0000000000000001E-3</c:v>
                </c:pt>
                <c:pt idx="17">
                  <c:v>0</c:v>
                </c:pt>
                <c:pt idx="18">
                  <c:v>9.7999999999999976E-2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0.59300795471571233</c:v>
                </c:pt>
                <c:pt idx="1">
                  <c:v>0.35730065531536453</c:v>
                </c:pt>
                <c:pt idx="2">
                  <c:v>4.9691389968923139E-2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topLeftCell="A25" zoomScale="120" zoomScaleNormal="120" workbookViewId="0">
      <selection activeCell="I33" sqref="I33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45371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3.6060148606567211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84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57</v>
      </c>
      <c r="B4" s="57"/>
      <c r="C4" s="15">
        <f>SUM(H28:H28)/C24</f>
        <v>0.14356068392799912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94</v>
      </c>
      <c r="B5" s="57"/>
      <c r="C5" s="15">
        <f>SUM(H29:H29)/C24</f>
        <v>0.12530056604211304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95</v>
      </c>
      <c r="B6" s="57"/>
      <c r="C6" s="15">
        <f>SUM(H30:H30)/C24</f>
        <v>0.12383495649613804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1.154424035325978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88</v>
      </c>
      <c r="B8" s="110"/>
      <c r="C8" s="15">
        <f>SUM(H34:H36)/C24</f>
        <v>0.18394020653678869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85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86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0.38858257536040131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66</v>
      </c>
      <c r="B12" s="110"/>
      <c r="C12" s="15">
        <f>SUM(H46:H48)/C24</f>
        <v>0.45883108953499757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74</v>
      </c>
      <c r="B13" s="110"/>
      <c r="C13" s="15">
        <f>SUM(H49)/C24</f>
        <v>0.46458920877797566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87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59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0.38376364797970502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61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0.16074349746286307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47803687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47803687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172380805.7161825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69</v>
      </c>
      <c r="K27" s="93" t="s">
        <v>70</v>
      </c>
    </row>
    <row r="28" spans="1:17" x14ac:dyDescent="0.25">
      <c r="A28" s="44" t="s">
        <v>72</v>
      </c>
      <c r="B28" s="34" t="s">
        <v>14</v>
      </c>
      <c r="C28" s="94">
        <v>146</v>
      </c>
      <c r="D28" s="34">
        <v>40156</v>
      </c>
      <c r="E28" s="34">
        <v>47005</v>
      </c>
      <c r="F28" s="33">
        <f>Table132[[#This Row],[New position]]-Table132[[#This Row],[Old position]]</f>
        <v>6849</v>
      </c>
      <c r="G28" s="34">
        <f>ROUND(Table132[[#This Row],[Target allocation ($)]]/(IF(G80&gt;0, G60,E60)*C24)*100,3)</f>
        <v>3.589</v>
      </c>
      <c r="H28" s="39">
        <f>Table132[[#This Row],[New position]]*Table132[[#This Row],[Last_Price]]</f>
        <v>6862730</v>
      </c>
      <c r="I28" s="98"/>
      <c r="J28" s="95" t="s">
        <v>96</v>
      </c>
      <c r="K28" s="95">
        <v>145</v>
      </c>
      <c r="L28"/>
      <c r="M28"/>
      <c r="N28"/>
      <c r="O28"/>
      <c r="P28"/>
      <c r="Q28"/>
    </row>
    <row r="29" spans="1:17" x14ac:dyDescent="0.25">
      <c r="A29" s="44" t="s">
        <v>90</v>
      </c>
      <c r="B29" s="44" t="s">
        <v>14</v>
      </c>
      <c r="C29" s="94">
        <v>41.04</v>
      </c>
      <c r="D29" s="34">
        <v>121621</v>
      </c>
      <c r="E29" s="34">
        <v>145951</v>
      </c>
      <c r="F29" s="33">
        <f>Table132[[#This Row],[New position]]-Table132[[#This Row],[Old position]]</f>
        <v>24330</v>
      </c>
      <c r="G29" s="34">
        <f>ROUND(Table132[[#This Row],[Target allocation ($)]]/(IF(G80&gt;0, G60,E60)*C24)*100,3)</f>
        <v>3.133</v>
      </c>
      <c r="H29" s="39">
        <f>Table132[[#This Row],[New position]]*Table132[[#This Row],[Last_Price]]</f>
        <v>5989829.04</v>
      </c>
      <c r="I29" s="106"/>
      <c r="J29" s="95" t="s">
        <v>96</v>
      </c>
      <c r="K29" s="95">
        <v>41.26</v>
      </c>
      <c r="L29"/>
      <c r="M29"/>
      <c r="N29"/>
      <c r="O29"/>
      <c r="P29"/>
      <c r="Q29"/>
    </row>
    <row r="30" spans="1:17" x14ac:dyDescent="0.25">
      <c r="A30" s="34" t="s">
        <v>91</v>
      </c>
      <c r="B30" s="34" t="s">
        <v>14</v>
      </c>
      <c r="C30" s="94">
        <v>207.5</v>
      </c>
      <c r="D30" s="34">
        <v>23710</v>
      </c>
      <c r="E30" s="34">
        <v>28529</v>
      </c>
      <c r="F30" s="33">
        <f>Table132[[#This Row],[New position]]-Table132[[#This Row],[Old position]]</f>
        <v>4819</v>
      </c>
      <c r="G30" s="34">
        <f>ROUND(Table132[[#This Row],[Target allocation ($)]]/(IF(G80&gt;0, G60,E60)*C24)*100,3)</f>
        <v>3.0960000000000001</v>
      </c>
      <c r="H30" s="39">
        <f>Table132[[#This Row],[New position]]*Table132[[#This Row],[Last_Price]]</f>
        <v>5919767.5</v>
      </c>
      <c r="I30" s="106"/>
      <c r="J30" s="95" t="s">
        <v>96</v>
      </c>
      <c r="K30" s="95">
        <v>207.81</v>
      </c>
      <c r="L30"/>
      <c r="M30"/>
      <c r="N30"/>
      <c r="O30"/>
      <c r="P30"/>
      <c r="Q30"/>
    </row>
    <row r="31" spans="1:17" x14ac:dyDescent="0.25">
      <c r="A31" s="44" t="s">
        <v>71</v>
      </c>
      <c r="B31" s="44" t="s">
        <v>14</v>
      </c>
      <c r="C31" s="94">
        <v>219</v>
      </c>
      <c r="D31" s="34">
        <v>128476</v>
      </c>
      <c r="E31" s="34">
        <v>133042</v>
      </c>
      <c r="F31" s="33">
        <f>Table132[[#This Row],[New position]]-Table132[[#This Row],[Old position]]</f>
        <v>4566</v>
      </c>
      <c r="G31" s="34">
        <f>ROUND(Table132[[#This Row],[Target allocation ($)]]/(IF(G80&gt;0, G60,E60)*C24)*100,3)</f>
        <v>15.237</v>
      </c>
      <c r="H31" s="39">
        <f>Table132[[#This Row],[New position]]*Table132[[#This Row],[Last_Price]]</f>
        <v>29136198</v>
      </c>
      <c r="I31" s="27"/>
      <c r="J31" s="95" t="s">
        <v>96</v>
      </c>
      <c r="K31" s="95">
        <v>218.23</v>
      </c>
      <c r="L31"/>
      <c r="M31"/>
      <c r="N31"/>
      <c r="O31"/>
      <c r="P31"/>
      <c r="Q31"/>
    </row>
    <row r="32" spans="1:17" x14ac:dyDescent="0.25">
      <c r="A32" s="34" t="s">
        <v>62</v>
      </c>
      <c r="B32" s="34" t="s">
        <v>14</v>
      </c>
      <c r="C32" s="94">
        <v>65.75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11.025</v>
      </c>
      <c r="H32" s="39">
        <f>Table132[[#This Row],[New position]]*Table132[[#This Row],[Last_Price]]</f>
        <v>21082277.25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89</v>
      </c>
      <c r="B33" s="44" t="s">
        <v>14</v>
      </c>
      <c r="C33" s="94">
        <v>895</v>
      </c>
      <c r="D33" s="34">
        <v>4992</v>
      </c>
      <c r="E33" s="34">
        <v>5550</v>
      </c>
      <c r="F33" s="33">
        <f>Table132[[#This Row],[New position]]-Table132[[#This Row],[Old position]]</f>
        <v>558</v>
      </c>
      <c r="G33" s="34">
        <f>ROUND(Table132[[#This Row],[Target allocation ($)]]/(IF(G80&gt;0, G60,E60)*C24)*100,3)</f>
        <v>2.5979999999999999</v>
      </c>
      <c r="H33" s="39">
        <f>Table132[[#This Row],[New position]]*Table132[[#This Row],[Last_Price]]</f>
        <v>4967250</v>
      </c>
      <c r="I33" s="105"/>
      <c r="J33" s="95" t="s">
        <v>96</v>
      </c>
      <c r="K33" s="95">
        <v>889.95</v>
      </c>
      <c r="L33"/>
      <c r="M33"/>
      <c r="N33"/>
      <c r="O33"/>
      <c r="P33"/>
      <c r="Q33"/>
    </row>
    <row r="34" spans="1:17" x14ac:dyDescent="0.25">
      <c r="A34" s="44" t="s">
        <v>81</v>
      </c>
      <c r="B34" s="34" t="s">
        <v>14</v>
      </c>
      <c r="C34" s="94">
        <v>56.63</v>
      </c>
      <c r="D34" s="34">
        <v>82227</v>
      </c>
      <c r="E34" s="34">
        <v>91056</v>
      </c>
      <c r="F34" s="33">
        <f>Table132[[#This Row],[New position]]-Table132[[#This Row],[Old position]]</f>
        <v>8829</v>
      </c>
      <c r="G34" s="34">
        <f>ROUND(Table132[[#This Row],[Target allocation ($)]]/(IF(G80&gt;0, G60,E60)*C24)*100,3)</f>
        <v>2.6970000000000001</v>
      </c>
      <c r="H34" s="39">
        <f>Table132[[#This Row],[New position]]*Table132[[#This Row],[Last_Price]]</f>
        <v>5156501.28</v>
      </c>
      <c r="I34" s="105"/>
      <c r="J34" s="95" t="s">
        <v>96</v>
      </c>
      <c r="K34" s="95">
        <v>56.9</v>
      </c>
      <c r="L34"/>
      <c r="M34"/>
      <c r="N34"/>
      <c r="O34"/>
      <c r="P34"/>
      <c r="Q34"/>
    </row>
    <row r="35" spans="1:17" x14ac:dyDescent="0.25">
      <c r="A35" s="44" t="s">
        <v>82</v>
      </c>
      <c r="B35" s="44" t="s">
        <v>14</v>
      </c>
      <c r="C35" s="94">
        <v>201.53</v>
      </c>
      <c r="D35" s="34">
        <v>10486</v>
      </c>
      <c r="E35" s="34">
        <v>10486</v>
      </c>
      <c r="F35" s="33">
        <f>Table132[[#This Row],[New position]]-Table132[[#This Row],[Old position]]</f>
        <v>0</v>
      </c>
      <c r="G35" s="34">
        <f>ROUND(Table132[[#This Row],[Target allocation ($)]]/(IF(G80&gt;0, G60,E60)*C24)*100,3)</f>
        <v>1.105</v>
      </c>
      <c r="H35" s="39">
        <f>Table132[[#This Row],[New position]]*Table132[[#This Row],[Last_Price]]</f>
        <v>2113243.58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83</v>
      </c>
      <c r="B36" s="34" t="s">
        <v>14</v>
      </c>
      <c r="C36" s="46">
        <v>47.65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0.79700000000000004</v>
      </c>
      <c r="H36" s="39">
        <f>Table132[[#This Row],[New position]]*Table132[[#This Row],[Last_Price]]</f>
        <v>1523275.2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238.64804469273699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0.112</v>
      </c>
      <c r="H37" s="39">
        <f>Table132[[#This Row],[New position]]*Table132[[#This Row],[Last_Price]]</f>
        <v>214783.24022346328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36.9053708439898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0.29499999999999998</v>
      </c>
      <c r="H38" s="39">
        <f>Table132[[#This Row],[New position]]*Table132[[#This Row],[Last_Price]]</f>
        <v>564652.17391304392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9.1112531969309494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0.105</v>
      </c>
      <c r="H39" s="39">
        <f>Table132[[#This Row],[New position]]*Table132[[#This Row],[Last_Price]]</f>
        <v>200447.57033248089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13.0179028132992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0.106</v>
      </c>
      <c r="H40" s="39">
        <f>Table132[[#This Row],[New position]]*Table132[[#This Row],[Last_Price]]</f>
        <v>203079.28388746752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0.82225063938618903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0.72399999999999998</v>
      </c>
      <c r="H41" s="39">
        <f>Table132[[#This Row],[New position]]*Table132[[#This Row],[Last_Price]]</f>
        <v>1384670.0767263423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2.3171355498721198</v>
      </c>
      <c r="D42" s="34">
        <v>2348000</v>
      </c>
      <c r="E42" s="34">
        <v>2348000</v>
      </c>
      <c r="F42" s="33">
        <f>Table132[[#This Row],[New position]]-Table132[[#This Row],[Old position]]</f>
        <v>0</v>
      </c>
      <c r="G42" s="34">
        <f>ROUND(Table132[[#This Row],[Target allocation ($)]]/(IF(G80&gt;0, G60,E60)*C24)*100,3)</f>
        <v>2.8450000000000002</v>
      </c>
      <c r="H42" s="39">
        <f>Table132[[#This Row],[New position]]*Table132[[#This Row],[Last_Price]]</f>
        <v>5440634.2710997369</v>
      </c>
      <c r="I42" s="59"/>
      <c r="J42" s="95"/>
      <c r="K42" s="95"/>
      <c r="L42"/>
      <c r="M42"/>
      <c r="N42"/>
      <c r="O42"/>
      <c r="P42"/>
      <c r="Q42"/>
    </row>
    <row r="43" spans="1:17" x14ac:dyDescent="0.25">
      <c r="A43" s="34" t="s">
        <v>68</v>
      </c>
      <c r="B43" s="34" t="s">
        <v>14</v>
      </c>
      <c r="C43" s="94">
        <v>42.27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5.2960000000000003</v>
      </c>
      <c r="H43" s="39">
        <f>Table132[[#This Row],[New position]]*Table132[[#This Row],[Last_Price]]</f>
        <v>10127553.84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53</v>
      </c>
      <c r="B44" s="34" t="s">
        <v>14</v>
      </c>
      <c r="C44" s="46">
        <v>84.46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7.2999999999999995E-2</v>
      </c>
      <c r="H44" s="39">
        <f>Table132[[#This Row],[New position]]*Table132[[#This Row],[Last_Price]]</f>
        <v>139359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55</v>
      </c>
      <c r="B45" s="34" t="s">
        <v>14</v>
      </c>
      <c r="C45" s="46">
        <v>22.85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0.157</v>
      </c>
      <c r="H45" s="39">
        <f>Table132[[#This Row],[New position]]*Table132[[#This Row],[Last_Price]]</f>
        <v>300500.35000000003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54</v>
      </c>
      <c r="B46" s="44" t="s">
        <v>14</v>
      </c>
      <c r="C46" s="46">
        <v>71.05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0.80500000000000005</v>
      </c>
      <c r="H46" s="39">
        <f>Table132[[#This Row],[New position]]*Table132[[#This Row],[Last_Price]]</f>
        <v>1540221.9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63</v>
      </c>
      <c r="B47" s="44" t="s">
        <v>14</v>
      </c>
      <c r="C47" s="46">
        <v>32.880000000000003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5.8000000000000003E-2</v>
      </c>
      <c r="H47" s="39">
        <f>Table132[[#This Row],[New position]]*Table132[[#This Row],[Last_Price]]</f>
        <v>111792.00000000001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64</v>
      </c>
      <c r="B48" s="34" t="s">
        <v>14</v>
      </c>
      <c r="C48" s="46">
        <v>107.23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10.606999999999999</v>
      </c>
      <c r="H48" s="39">
        <f>Table132[[#This Row],[New position]]*Table132[[#This Row],[Last_Price]]</f>
        <v>20281803.890000001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439.54</v>
      </c>
      <c r="D49" s="34">
        <v>50528</v>
      </c>
      <c r="E49" s="34">
        <v>50528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11.615</v>
      </c>
      <c r="H49" s="39">
        <f>Table132[[#This Row],[New position]]*Table132[[#This Row],[Last_Price]]</f>
        <v>22209077.120000001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47.66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0.46100000000000002</v>
      </c>
      <c r="H50" s="39">
        <f>Table132[[#This Row],[New position]]*Table132[[#This Row],[Last_Price]]</f>
        <v>881709.99999999988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79.930000000000007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1.518</v>
      </c>
      <c r="H51" s="39">
        <f>Table132[[#This Row],[New position]]*Table132[[#This Row],[Last_Price]]</f>
        <v>2902418.16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71.64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1.4370000000000001</v>
      </c>
      <c r="H52" s="39">
        <f>Table132[[#This Row],[New position]]*Table132[[#This Row],[Last_Price]]</f>
        <v>2747394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93.15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($)]]/(IF(G80&gt;0, G60,E60)*C24)*100,3)</f>
        <v>3.117</v>
      </c>
      <c r="H53" s="39">
        <f>Table132[[#This Row],[New position]]*Table132[[#This Row],[Last_Price]]</f>
        <v>5959271.25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107.94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1.5089999999999999</v>
      </c>
      <c r="H54" s="39">
        <f>Table132[[#This Row],[New position]]*Table132[[#This Row],[Last_Price]]</f>
        <v>2884696.5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36.49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1.4950000000000001</v>
      </c>
      <c r="H55" s="39">
        <f>Table132[[#This Row],[New position]]*Table132[[#This Row],[Last_Price]]</f>
        <v>2858042.7600000002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67</v>
      </c>
      <c r="B56" s="44" t="s">
        <v>14</v>
      </c>
      <c r="C56" s="46">
        <v>47.28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0.52</v>
      </c>
      <c r="H56" s="39">
        <f>Table132[[#This Row],[New position]]*Table132[[#This Row],[Last_Price]]</f>
        <v>993494.64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199.36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4.0190000000000001</v>
      </c>
      <c r="H57" s="39">
        <f>Table132[[#This Row],[New position]]*Table132[[#This Row],[Last_Price]]</f>
        <v>7684131.8400000008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3.9999999999999996</v>
      </c>
      <c r="F60" s="31"/>
      <c r="G60" s="34">
        <v>4</v>
      </c>
      <c r="H60" s="46"/>
      <c r="I60" s="48"/>
      <c r="J60" s="101" t="s">
        <v>75</v>
      </c>
      <c r="K60" s="82" t="s">
        <v>76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27"/>
      <c r="J61" s="68" t="s">
        <v>77</v>
      </c>
      <c r="K61" s="104">
        <f>1-SUM(K62:K63)</f>
        <v>0.59300795471571233</v>
      </c>
      <c r="L61"/>
      <c r="M61"/>
      <c r="N61"/>
      <c r="O61"/>
      <c r="P61"/>
      <c r="Q61"/>
    </row>
    <row r="62" spans="1:17" ht="15" customHeight="1" x14ac:dyDescent="0.25">
      <c r="A62" s="44" t="s">
        <v>58</v>
      </c>
      <c r="B62" s="44"/>
      <c r="C62" s="45"/>
      <c r="D62" s="47" t="str">
        <f>Table132[[#This Row],[Symbol]]</f>
        <v>Healthcare</v>
      </c>
      <c r="E62" s="34">
        <f>ROUND(SUM(G28:G28)/100, 3)</f>
        <v>3.5999999999999997E-2</v>
      </c>
      <c r="F62" s="47" t="str">
        <f>Table132[[#This Row],[Symbol]]</f>
        <v>Healthcare</v>
      </c>
      <c r="G62" s="34">
        <f>SUM(H28:H28)/(G60*C24)</f>
        <v>3.5890170981999779E-2</v>
      </c>
      <c r="H62" s="46"/>
      <c r="I62" s="27"/>
      <c r="J62" s="68" t="s">
        <v>78</v>
      </c>
      <c r="K62" s="102">
        <f>(SUM(H37:H48)+H32)/C25</f>
        <v>0.35730065531536453</v>
      </c>
      <c r="L62"/>
      <c r="M62"/>
      <c r="N62"/>
      <c r="O62"/>
      <c r="P62"/>
      <c r="Q62"/>
    </row>
    <row r="63" spans="1:17" ht="15" customHeight="1" x14ac:dyDescent="0.25">
      <c r="A63" s="44" t="s">
        <v>92</v>
      </c>
      <c r="B63" s="44"/>
      <c r="C63" s="45"/>
      <c r="D63" s="47" t="str">
        <f>Table132[[#This Row],[Symbol]]</f>
        <v>Financials</v>
      </c>
      <c r="E63" s="34">
        <f>ROUND(SUM(G29:G29)/100, 3)</f>
        <v>3.1E-2</v>
      </c>
      <c r="F63" s="47" t="str">
        <f>Table132[[#This Row],[Symbol]]</f>
        <v>Financials</v>
      </c>
      <c r="G63" s="51">
        <f>SUM(H29:H29)/(G60*C24)</f>
        <v>3.1325141510528259E-2</v>
      </c>
      <c r="H63" s="46"/>
      <c r="I63" s="106"/>
      <c r="J63" s="68" t="s">
        <v>79</v>
      </c>
      <c r="K63" s="103">
        <f>(H57+H50)/C25</f>
        <v>4.9691389968923139E-2</v>
      </c>
      <c r="L63"/>
      <c r="M63"/>
      <c r="N63"/>
      <c r="O63"/>
      <c r="P63"/>
      <c r="Q63"/>
    </row>
    <row r="64" spans="1:17" ht="15" customHeight="1" x14ac:dyDescent="0.25">
      <c r="A64" s="44" t="s">
        <v>93</v>
      </c>
      <c r="B64" s="44"/>
      <c r="C64" s="45"/>
      <c r="D64" s="47" t="str">
        <f>Table132[[#This Row],[Symbol]]</f>
        <v>Techs</v>
      </c>
      <c r="E64" s="51">
        <f>ROUND(SUM(G30:G30)/100, 3)</f>
        <v>3.1E-2</v>
      </c>
      <c r="F64" s="47" t="str">
        <f>Table132[[#This Row],[Symbol]]</f>
        <v>Techs</v>
      </c>
      <c r="G64" s="34">
        <f>SUM(H30:H30)/(G60*C24)</f>
        <v>3.0958739124034511E-2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0.28899999999999998</v>
      </c>
      <c r="F65" s="47" t="str">
        <f>Table132[[#This Row],[Symbol]]</f>
        <v>Semiconductor</v>
      </c>
      <c r="G65" s="51">
        <f>SUM(H31:H33)/(G60*C24)</f>
        <v>0.28860600883149451</v>
      </c>
      <c r="H65" s="46"/>
      <c r="I65" s="52"/>
      <c r="K65" s="84"/>
      <c r="L65"/>
      <c r="M65"/>
      <c r="N65"/>
      <c r="O65"/>
      <c r="P65"/>
      <c r="Q65"/>
    </row>
    <row r="66" spans="1:17" ht="15.75" customHeight="1" x14ac:dyDescent="0.25">
      <c r="A66" s="44" t="s">
        <v>51</v>
      </c>
      <c r="B66" s="44"/>
      <c r="C66" s="45"/>
      <c r="D66" s="47" t="str">
        <f>Table132[[#This Row],[Symbol]]</f>
        <v>Small Cap</v>
      </c>
      <c r="E66" s="51">
        <f>ROUND(SUM(G34:G36)/100, 3)</f>
        <v>4.5999999999999999E-2</v>
      </c>
      <c r="F66" s="47" t="str">
        <f>Table132[[#This Row],[Symbol]]</f>
        <v>Small Cap</v>
      </c>
      <c r="G66" s="51">
        <f>SUM(H34:H36)/(G60*C24)</f>
        <v>4.5985051634197173E-2</v>
      </c>
      <c r="H66" s="46"/>
      <c r="I66" s="52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52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9.7000000000000003E-2</v>
      </c>
      <c r="F69" s="47" t="str">
        <f>Table132[[#This Row],[Symbol]]</f>
        <v>Int Stocks</v>
      </c>
      <c r="G69" s="34">
        <f>SUM(H37:H45)/(G60*C24)</f>
        <v>9.7145643840100326E-2</v>
      </c>
      <c r="H69" s="46"/>
      <c r="I69" s="27" t="s">
        <v>80</v>
      </c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65</v>
      </c>
      <c r="B70" s="44"/>
      <c r="C70" s="45"/>
      <c r="D70" s="47" t="str">
        <f>Table132[[#This Row],[Symbol]]</f>
        <v>JP Stocks</v>
      </c>
      <c r="E70" s="34">
        <f>ROUND(SUM(G46:G48)/100, 3)</f>
        <v>0.115</v>
      </c>
      <c r="F70" s="47" t="str">
        <f>Table132[[#This Row],[Symbol]]</f>
        <v>JP Stocks</v>
      </c>
      <c r="G70" s="51">
        <f>SUM(H46:H48)/(G60*C24)</f>
        <v>0.11470777238374939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73</v>
      </c>
      <c r="B71" s="44"/>
      <c r="C71" s="45"/>
      <c r="D71" s="47" t="str">
        <f>Table132[[#This Row],[Symbol]]</f>
        <v>Nasdaq</v>
      </c>
      <c r="E71" s="51">
        <f>ROUND(SUM(G49)/100, 3)</f>
        <v>0.11600000000000001</v>
      </c>
      <c r="F71" s="47" t="str">
        <f>Table132[[#This Row],[Symbol]]</f>
        <v>Nasdaq</v>
      </c>
      <c r="G71" s="51">
        <f>SUM(H49)/(G60*C24)</f>
        <v>0.11614730219449391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52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56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9.6000000000000002E-2</v>
      </c>
      <c r="F74" s="47" t="str">
        <f>Table132[[#This Row],[Symbol]]</f>
        <v>Bonds</v>
      </c>
      <c r="G74" s="51">
        <f>(SUM(H51:H56))/(G60*C24)</f>
        <v>9.5940911994926256E-2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60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0.04</v>
      </c>
      <c r="F76" s="47" t="str">
        <f>Table132[[#This Row],[Symbol]]</f>
        <v>Gold</v>
      </c>
      <c r="G76" s="51">
        <f>SUM(H57)/(G60*C24)</f>
        <v>4.0185874365715767E-2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5.0000000000000001E-3</v>
      </c>
      <c r="F77" s="47" t="str">
        <f>Table132[[#This Row],[Symbol]]</f>
        <v>Commodities</v>
      </c>
      <c r="G77" s="34">
        <f>SUM(H50)/(G60*C24)</f>
        <v>4.6110983029405235E-3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9.7999999999999976E-2</v>
      </c>
      <c r="F79" s="47" t="str">
        <f>Table132[[#This Row],[Symbol]]</f>
        <v>Cash</v>
      </c>
      <c r="G79" s="34">
        <f>1-SUM(G61:G78)</f>
        <v>9.8496284835819625E-2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4684761.3259999985</v>
      </c>
      <c r="F80" s="31"/>
      <c r="G80" s="34">
        <f>C24*G79</f>
        <v>4708485.5709543675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2024-03-21T02:17:00Z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