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371" documentId="14_{A48F4B07-3EF3-43E5-91B2-4CA340E6013A}" xr6:coauthVersionLast="47" xr6:coauthVersionMax="47" xr10:uidLastSave="{9BA890AD-0F6A-4CC9-B2CB-6AAFBE0E24D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E60" i="3" l="1"/>
  <c r="G30" i="3" s="1"/>
  <c r="E64" i="3" s="1"/>
  <c r="G41" i="3"/>
  <c r="G50" i="3" l="1"/>
  <c r="E77" i="3" s="1"/>
  <c r="G37" i="3"/>
  <c r="G35" i="3"/>
  <c r="G54" i="3"/>
  <c r="G53" i="3"/>
  <c r="G51" i="3"/>
  <c r="G31" i="3"/>
  <c r="G49" i="3"/>
  <c r="E71" i="3" s="1"/>
  <c r="G34" i="3"/>
  <c r="G38" i="3"/>
  <c r="G55" i="3"/>
  <c r="G47" i="3"/>
  <c r="G46" i="3"/>
  <c r="G48" i="3"/>
  <c r="G44" i="3"/>
  <c r="G52" i="3"/>
  <c r="G36" i="3"/>
  <c r="G33" i="3"/>
  <c r="G32" i="3"/>
  <c r="G28" i="3"/>
  <c r="E62" i="3" s="1"/>
  <c r="G29" i="3"/>
  <c r="E63" i="3" s="1"/>
  <c r="G40" i="3"/>
  <c r="G57" i="3"/>
  <c r="E76" i="3" s="1"/>
  <c r="G56" i="3"/>
  <c r="G39" i="3"/>
  <c r="G43" i="3"/>
  <c r="G45" i="3"/>
  <c r="G42" i="3"/>
  <c r="E70" i="3" l="1"/>
  <c r="E66" i="3"/>
  <c r="E74" i="3"/>
  <c r="E65" i="3"/>
  <c r="E69" i="3"/>
  <c r="E79" i="3" l="1"/>
  <c r="E80" i="3" s="1"/>
</calcChain>
</file>

<file path=xl/sharedStrings.xml><?xml version="1.0" encoding="utf-8"?>
<sst xmlns="http://schemas.openxmlformats.org/spreadsheetml/2006/main" count="132" uniqueCount="96">
  <si>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</si>
  <si>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</si>
  <si>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</si>
  <si>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</si>
  <si>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</si>
  <si>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</si>
  <si>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</si>
  <si>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</si>
  <si>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</si>
  <si>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</si>
  <si>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</si>
  <si>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</si>
  <si>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</si>
  <si>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</si>
  <si>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</si>
  <si>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</si>
  <si>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</si>
  <si>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</si>
  <si>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</si>
  <si>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</si>
  <si>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</si>
  <si>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</si>
  <si>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</si>
  <si>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</si>
  <si>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</si>
  <si>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</si>
  <si>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</si>
  <si>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</si>
  <si>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</si>
  <si>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</si>
  <si>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</si>
  <si>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</si>
  <si>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</si>
  <si>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</si>
  <si>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</si>
  <si>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</si>
  <si>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</si>
  <si>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</si>
  <si>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</si>
  <si>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</si>
  <si>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</si>
  <si>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</si>
  <si>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</si>
  <si>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</si>
  <si>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</si>
  <si>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</si>
  <si>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</si>
  <si>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</si>
  <si>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</si>
  <si>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</si>
  <si>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</si>
  <si>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</si>
  <si>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</si>
  <si>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</si>
  <si>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</si>
  <si>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</si>
  <si>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</si>
  <si>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</si>
  <si>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</si>
  <si>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</si>
  <si>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</si>
  <si>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</si>
  <si>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</si>
  <si>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</si>
  <si>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</si>
  <si>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</si>
  <si>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</si>
  <si>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</si>
  <si>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</si>
  <si>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</si>
  <si>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</si>
  <si>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</si>
  <si>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</si>
  <si>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</si>
  <si>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</si>
  <si>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</si>
  <si>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</si>
  <si>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</si>
  <si>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</si>
  <si>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</si>
  <si>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</si>
  <si>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</si>
  <si>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</si>
  <si>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</si>
  <si>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</si>
  <si>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</si>
  <si>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</si>
  <si>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</si>
  <si>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</si>
  <si>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</si>
  <si>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</si>
  <si>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</si>
  <si>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</si>
  <si>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</si>
  <si>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Market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</si>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</sst>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Russell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3.3000000000000002E-2</c:v>
                </c:pt>
                <c:pt idx="2">
                  <c:v>5.2999999999999999E-2</c:v>
                </c:pt>
                <c:pt idx="3">
                  <c:v>5.2999999999999999E-2</c:v>
                </c:pt>
                <c:pt idx="4">
                  <c:v>0.311</c:v>
                </c:pt>
                <c:pt idx="5">
                  <c:v>9.0999999999999998E-2</c:v>
                </c:pt>
                <c:pt idx="6">
                  <c:v>0</c:v>
                </c:pt>
                <c:pt idx="7">
                  <c:v>0</c:v>
                </c:pt>
                <c:pt idx="8">
                  <c:v>0.09</c:v>
                </c:pt>
                <c:pt idx="9">
                  <c:v>0.107</c:v>
                </c:pt>
                <c:pt idx="10">
                  <c:v>0.13200000000000001</c:v>
                </c:pt>
                <c:pt idx="11">
                  <c:v>0</c:v>
                </c:pt>
                <c:pt idx="12">
                  <c:v>0</c:v>
                </c:pt>
                <c:pt idx="13">
                  <c:v>8.7999999999999995E-2</c:v>
                </c:pt>
                <c:pt idx="14">
                  <c:v>0</c:v>
                </c:pt>
                <c:pt idx="15">
                  <c:v>3.7999999999999999E-2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0.65697670795060381</c:v>
                </c:pt>
                <c:pt idx="1">
                  <c:v>0.30093492854553161</c:v>
                </c:pt>
                <c:pt idx="2">
                  <c:v>4.2088363503864579E-2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34" zoomScale="120" zoomScaleNormal="120" workbookViewId="0">
      <selection activeCell="I46" sqref="I4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45372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4.1221805333773256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82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56</v>
      </c>
      <c r="B4" s="57"/>
      <c r="C4" s="15">
        <f>SUM(H28:H28)/C24</f>
        <v>0.13499798894010037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92</v>
      </c>
      <c r="B5" s="57"/>
      <c r="C5" s="15">
        <f>SUM(H29:H29)/C24</f>
        <v>0.21976645508331252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93</v>
      </c>
      <c r="B6" s="57"/>
      <c r="C6" s="15">
        <f>SUM(H30:H30)/C24</f>
        <v>0.21761843561623642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1.2815990317369961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86</v>
      </c>
      <c r="B8" s="110"/>
      <c r="C8" s="15">
        <f>SUM(H34:H36)/C24</f>
        <v>0.37502457675898587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83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84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0.37124512732551795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65</v>
      </c>
      <c r="B12" s="110"/>
      <c r="C12" s="15">
        <f>SUM(H46:H48)/C24</f>
        <v>0.44012905674556885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73</v>
      </c>
      <c r="B13" s="110"/>
      <c r="C13" s="15">
        <f>SUM(H49)/C24</f>
        <v>0.54469538830506359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85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58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0.36360864014820399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60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0.15529693987244836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50644289.619999997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50644289.619999997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208764904.79828733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68</v>
      </c>
      <c r="K27" s="93" t="s">
        <v>69</v>
      </c>
    </row>
    <row r="28" spans="1:17" x14ac:dyDescent="0.25">
      <c r="A28" s="44" t="s">
        <v>71</v>
      </c>
      <c r="B28" s="34" t="s">
        <v>14</v>
      </c>
      <c r="C28" s="94">
        <v>145.44999999999999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3.2749999999999999</v>
      </c>
      <c r="H28" s="39">
        <f>Table132[[#This Row],[New position]]*Table132[[#This Row],[Last_Price]]</f>
        <v>6836877.2499999991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88</v>
      </c>
      <c r="B29" s="44" t="s">
        <v>14</v>
      </c>
      <c r="C29" s="94">
        <v>42</v>
      </c>
      <c r="D29" s="34">
        <v>145951</v>
      </c>
      <c r="E29" s="34">
        <v>264998</v>
      </c>
      <c r="F29" s="33">
        <f>Table132[[#This Row],[New position]]-Table132[[#This Row],[Old position]]</f>
        <v>119047</v>
      </c>
      <c r="G29" s="34">
        <f>ROUND(Table132[[#This Row],[Target allocation ($)]]/(IF(G80&gt;0, G60,E60)*C24)*100,3)</f>
        <v>5.3310000000000004</v>
      </c>
      <c r="H29" s="39">
        <f>Table132[[#This Row],[New position]]*Table132[[#This Row],[Last_Price]]</f>
        <v>11129916</v>
      </c>
      <c r="I29" s="106"/>
      <c r="J29" s="95" t="s">
        <v>94</v>
      </c>
      <c r="K29" s="95">
        <v>41.92</v>
      </c>
      <c r="L29"/>
      <c r="M29"/>
      <c r="N29"/>
      <c r="O29"/>
      <c r="P29"/>
      <c r="Q29"/>
    </row>
    <row r="30" spans="1:17" x14ac:dyDescent="0.25">
      <c r="A30" s="34" t="s">
        <v>89</v>
      </c>
      <c r="B30" s="34" t="s">
        <v>14</v>
      </c>
      <c r="C30" s="94">
        <v>211.06</v>
      </c>
      <c r="D30" s="34">
        <v>28529</v>
      </c>
      <c r="E30" s="34">
        <v>52218</v>
      </c>
      <c r="F30" s="33">
        <f>Table132[[#This Row],[New position]]-Table132[[#This Row],[Old position]]</f>
        <v>23689</v>
      </c>
      <c r="G30" s="34">
        <f>ROUND(Table132[[#This Row],[Target allocation ($)]]/(IF(G80&gt;0, G60,E60)*C24)*100,3)</f>
        <v>5.2789999999999999</v>
      </c>
      <c r="H30" s="39">
        <f>Table132[[#This Row],[New position]]*Table132[[#This Row],[Last_Price]]</f>
        <v>11021131.08</v>
      </c>
      <c r="I30" s="106"/>
      <c r="J30" s="95" t="s">
        <v>94</v>
      </c>
      <c r="K30" s="95">
        <v>210.64</v>
      </c>
      <c r="L30"/>
      <c r="M30"/>
      <c r="N30"/>
      <c r="O30"/>
      <c r="P30"/>
      <c r="Q30"/>
    </row>
    <row r="31" spans="1:17" x14ac:dyDescent="0.25">
      <c r="A31" s="44" t="s">
        <v>70</v>
      </c>
      <c r="B31" s="44" t="s">
        <v>14</v>
      </c>
      <c r="C31" s="94">
        <v>226</v>
      </c>
      <c r="D31" s="34">
        <v>133042</v>
      </c>
      <c r="E31" s="34">
        <v>155165</v>
      </c>
      <c r="F31" s="33">
        <f>Table132[[#This Row],[New position]]-Table132[[#This Row],[Old position]]</f>
        <v>22123</v>
      </c>
      <c r="G31" s="34">
        <f>ROUND(Table132[[#This Row],[Target allocation ($)]]/(IF(G80&gt;0, G60,E60)*C24)*100,3)</f>
        <v>16.797999999999998</v>
      </c>
      <c r="H31" s="39">
        <f>Table132[[#This Row],[New position]]*Table132[[#This Row],[Last_Price]]</f>
        <v>35067290</v>
      </c>
      <c r="I31" s="27"/>
      <c r="J31" s="95" t="s">
        <v>94</v>
      </c>
      <c r="K31" s="95">
        <v>227.82</v>
      </c>
      <c r="L31"/>
      <c r="M31"/>
      <c r="N31"/>
      <c r="O31"/>
      <c r="P31"/>
      <c r="Q31"/>
    </row>
    <row r="32" spans="1:17" x14ac:dyDescent="0.25">
      <c r="A32" s="34" t="s">
        <v>61</v>
      </c>
      <c r="B32" s="34" t="s">
        <v>14</v>
      </c>
      <c r="C32" s="94">
        <v>67.78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10.41</v>
      </c>
      <c r="H32" s="39">
        <f>Table132[[#This Row],[New position]]*Table132[[#This Row],[Last_Price]]</f>
        <v>21733182.539999999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87</v>
      </c>
      <c r="B33" s="44" t="s">
        <v>14</v>
      </c>
      <c r="C33" s="94">
        <v>920</v>
      </c>
      <c r="D33" s="34">
        <v>5550</v>
      </c>
      <c r="E33" s="34">
        <v>8810</v>
      </c>
      <c r="F33" s="33">
        <f>Table132[[#This Row],[New position]]-Table132[[#This Row],[Old position]]</f>
        <v>3260</v>
      </c>
      <c r="G33" s="34">
        <f>ROUND(Table132[[#This Row],[Target allocation ($)]]/(IF(G80&gt;0, G60,E60)*C24)*100,3)</f>
        <v>3.8820000000000001</v>
      </c>
      <c r="H33" s="39">
        <f>Table132[[#This Row],[New position]]*Table132[[#This Row],[Last_Price]]</f>
        <v>8105200</v>
      </c>
      <c r="I33" s="105"/>
      <c r="J33" s="95" t="s">
        <v>94</v>
      </c>
      <c r="K33" s="95">
        <v>916.28</v>
      </c>
      <c r="L33"/>
      <c r="M33"/>
      <c r="N33"/>
      <c r="O33"/>
      <c r="P33"/>
      <c r="Q33"/>
    </row>
    <row r="34" spans="1:17" x14ac:dyDescent="0.25">
      <c r="A34" s="44" t="s">
        <v>79</v>
      </c>
      <c r="B34" s="34" t="s">
        <v>14</v>
      </c>
      <c r="C34" s="94">
        <v>58</v>
      </c>
      <c r="D34" s="34">
        <v>91056</v>
      </c>
      <c r="E34" s="34">
        <v>177262</v>
      </c>
      <c r="F34" s="33">
        <f>Table132[[#This Row],[New position]]-Table132[[#This Row],[Old position]]</f>
        <v>86206</v>
      </c>
      <c r="G34" s="34">
        <f>ROUND(Table132[[#This Row],[Target allocation ($)]]/(IF(G80&gt;0, G60,E60)*C24)*100,3)</f>
        <v>4.9249999999999998</v>
      </c>
      <c r="H34" s="39">
        <f>Table132[[#This Row],[New position]]*Table132[[#This Row],[Last_Price]]</f>
        <v>10281196</v>
      </c>
      <c r="I34" s="105"/>
      <c r="J34" s="95" t="s">
        <v>94</v>
      </c>
      <c r="K34" s="95">
        <v>57.37</v>
      </c>
      <c r="L34"/>
      <c r="M34"/>
      <c r="N34"/>
      <c r="O34"/>
      <c r="P34"/>
      <c r="Q34"/>
    </row>
    <row r="35" spans="1:17" x14ac:dyDescent="0.25">
      <c r="A35" s="44" t="s">
        <v>80</v>
      </c>
      <c r="B35" s="44" t="s">
        <v>14</v>
      </c>
      <c r="C35" s="94">
        <v>207</v>
      </c>
      <c r="D35" s="34">
        <v>10486</v>
      </c>
      <c r="E35" s="34">
        <v>34640</v>
      </c>
      <c r="F35" s="33">
        <f>Table132[[#This Row],[New position]]-Table132[[#This Row],[Old position]]</f>
        <v>24154</v>
      </c>
      <c r="G35" s="34">
        <f>ROUND(Table132[[#This Row],[Target allocation ($)]]/(IF(G80&gt;0, G60,E60)*C24)*100,3)</f>
        <v>3.4350000000000001</v>
      </c>
      <c r="H35" s="39">
        <f>Table132[[#This Row],[New position]]*Table132[[#This Row],[Last_Price]]</f>
        <v>7170480</v>
      </c>
      <c r="I35" s="105"/>
      <c r="J35" s="95" t="s">
        <v>94</v>
      </c>
      <c r="K35" s="95">
        <v>208.18</v>
      </c>
      <c r="L35"/>
      <c r="M35"/>
      <c r="N35"/>
      <c r="O35"/>
      <c r="P35"/>
      <c r="Q35"/>
    </row>
    <row r="36" spans="1:17" x14ac:dyDescent="0.25">
      <c r="A36" s="44" t="s">
        <v>81</v>
      </c>
      <c r="B36" s="34" t="s">
        <v>14</v>
      </c>
      <c r="C36" s="46">
        <v>48.21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0.73799999999999999</v>
      </c>
      <c r="H36" s="39">
        <f>Table132[[#This Row],[New position]]*Table132[[#This Row],[Last_Price]]</f>
        <v>1541177.28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238.688547486034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0.10299999999999999</v>
      </c>
      <c r="H37" s="39">
        <f>Table132[[#This Row],[New position]]*Table132[[#This Row],[Last_Price]]</f>
        <v>214819.6927374306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37.084398976982101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0.27200000000000002</v>
      </c>
      <c r="H38" s="39">
        <f>Table132[[#This Row],[New position]]*Table132[[#This Row],[Last_Price]]</f>
        <v>567391.30434782617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9.2710997442455199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9.8000000000000004E-2</v>
      </c>
      <c r="H39" s="39">
        <f>Table132[[#This Row],[New position]]*Table132[[#This Row],[Last_Price]]</f>
        <v>203964.19437340143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12.915601023017899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9.7000000000000003E-2</v>
      </c>
      <c r="H40" s="39">
        <f>Table132[[#This Row],[New position]]*Table132[[#This Row],[Last_Price]]</f>
        <v>201483.37595907922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0.84015345268542196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0.67800000000000005</v>
      </c>
      <c r="H41" s="39">
        <f>Table132[[#This Row],[New position]]*Table132[[#This Row],[Last_Price]]</f>
        <v>1414818.4143222505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2.3299232736572901</v>
      </c>
      <c r="D42" s="34">
        <v>2348000</v>
      </c>
      <c r="E42" s="34">
        <v>2348000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2.62</v>
      </c>
      <c r="H42" s="39">
        <f>Table132[[#This Row],[New position]]*Table132[[#This Row],[Last_Price]]</f>
        <v>5470659.8465473168</v>
      </c>
      <c r="I42" s="59"/>
      <c r="J42" s="95"/>
      <c r="K42" s="95"/>
      <c r="L42"/>
      <c r="M42"/>
      <c r="N42"/>
      <c r="O42"/>
      <c r="P42"/>
      <c r="Q42"/>
    </row>
    <row r="43" spans="1:17" x14ac:dyDescent="0.25">
      <c r="A43" s="34" t="s">
        <v>67</v>
      </c>
      <c r="B43" s="34" t="s">
        <v>14</v>
      </c>
      <c r="C43" s="94">
        <v>42.9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4.923</v>
      </c>
      <c r="H43" s="39">
        <f>Table132[[#This Row],[New position]]*Table132[[#This Row],[Last_Price]]</f>
        <v>10278496.799999999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52</v>
      </c>
      <c r="B44" s="34" t="s">
        <v>14</v>
      </c>
      <c r="C44" s="46">
        <v>88.34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7.0000000000000007E-2</v>
      </c>
      <c r="H44" s="39">
        <f>Table132[[#This Row],[New position]]*Table132[[#This Row],[Last_Price]]</f>
        <v>145761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54</v>
      </c>
      <c r="B45" s="34" t="s">
        <v>14</v>
      </c>
      <c r="C45" s="46">
        <v>23.12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0.14599999999999999</v>
      </c>
      <c r="H45" s="39">
        <f>Table132[[#This Row],[New position]]*Table132[[#This Row],[Last_Price]]</f>
        <v>304051.12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53</v>
      </c>
      <c r="B46" s="44" t="s">
        <v>14</v>
      </c>
      <c r="C46" s="46">
        <v>71.650000000000006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0.74399999999999999</v>
      </c>
      <c r="H46" s="39">
        <f>Table132[[#This Row],[New position]]*Table132[[#This Row],[Last_Price]]</f>
        <v>1553228.7000000002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62</v>
      </c>
      <c r="B47" s="44" t="s">
        <v>14</v>
      </c>
      <c r="C47" s="46">
        <v>33.130000000000003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5.3999999999999999E-2</v>
      </c>
      <c r="H47" s="39">
        <f>Table132[[#This Row],[New position]]*Table132[[#This Row],[Last_Price]]</f>
        <v>112642.00000000001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63</v>
      </c>
      <c r="B48" s="34" t="s">
        <v>14</v>
      </c>
      <c r="C48" s="46">
        <v>109.04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9.8789999999999996</v>
      </c>
      <c r="H48" s="39">
        <f>Table132[[#This Row],[New position]]*Table132[[#This Row],[Last_Price]]</f>
        <v>20624152.720000003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447</v>
      </c>
      <c r="D49" s="34">
        <v>50528</v>
      </c>
      <c r="E49" s="34">
        <v>61713</v>
      </c>
      <c r="F49" s="33">
        <f>Table132[[#This Row],[New position]]-Table132[[#This Row],[Old position]]</f>
        <v>11185</v>
      </c>
      <c r="G49" s="34">
        <f>ROUND(Table132[[#This Row],[Target allocation ($)]]/(IF(G80&gt;0, G60,E60)*C24)*100,3)</f>
        <v>13.214</v>
      </c>
      <c r="H49" s="39">
        <f>Table132[[#This Row],[New position]]*Table132[[#This Row],[Last_Price]]</f>
        <v>27585711</v>
      </c>
      <c r="I49" s="99"/>
      <c r="J49" s="95" t="s">
        <v>94</v>
      </c>
      <c r="K49" s="97">
        <v>447.54</v>
      </c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49.82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0.441</v>
      </c>
      <c r="H50" s="39">
        <f>Table132[[#This Row],[New position]]*Table132[[#This Row],[Last_Price]]</f>
        <v>921670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80.12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1.3939999999999999</v>
      </c>
      <c r="H51" s="39">
        <f>Table132[[#This Row],[New position]]*Table132[[#This Row],[Last_Price]]</f>
        <v>2909317.44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72.3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1.3280000000000001</v>
      </c>
      <c r="H52" s="39">
        <f>Table132[[#This Row],[New position]]*Table132[[#This Row],[Last_Price]]</f>
        <v>2772705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93.48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2.8650000000000002</v>
      </c>
      <c r="H53" s="39">
        <f>Table132[[#This Row],[New position]]*Table132[[#This Row],[Last_Price]]</f>
        <v>5980383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108.14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1.3839999999999999</v>
      </c>
      <c r="H54" s="39">
        <f>Table132[[#This Row],[New position]]*Table132[[#This Row],[Last_Price]]</f>
        <v>2890041.5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36.6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1.373</v>
      </c>
      <c r="H55" s="39">
        <f>Table132[[#This Row],[New position]]*Table132[[#This Row],[Last_Price]]</f>
        <v>2866658.4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66</v>
      </c>
      <c r="B56" s="44" t="s">
        <v>14</v>
      </c>
      <c r="C56" s="46">
        <v>47.38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0.47699999999999998</v>
      </c>
      <c r="H56" s="39">
        <f>Table132[[#This Row],[New position]]*Table132[[#This Row],[Last_Price]]</f>
        <v>995595.94000000006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204.05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3.7669999999999999</v>
      </c>
      <c r="H57" s="39">
        <f>Table132[[#This Row],[New position]]*Table132[[#This Row],[Last_Price]]</f>
        <v>7864903.2000000002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4.1221805333773256</v>
      </c>
      <c r="F60" s="31"/>
      <c r="G60" s="34">
        <v>4.1221805333773256</v>
      </c>
      <c r="H60" s="46"/>
      <c r="I60" s="48"/>
      <c r="J60" s="101" t="s">
        <v>74</v>
      </c>
      <c r="K60" s="82" t="s">
        <v>75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94"/>
      <c r="J61" s="68" t="s">
        <v>76</v>
      </c>
      <c r="K61" s="104">
        <f>1-SUM(K62:K63)</f>
        <v>0.65697670795060381</v>
      </c>
      <c r="L61"/>
      <c r="M61"/>
      <c r="N61"/>
      <c r="O61"/>
      <c r="P61"/>
      <c r="Q61"/>
    </row>
    <row r="62" spans="1:17" ht="15" customHeight="1" x14ac:dyDescent="0.25">
      <c r="A62" s="44" t="s">
        <v>57</v>
      </c>
      <c r="B62" s="44"/>
      <c r="C62" s="45"/>
      <c r="D62" s="47" t="str">
        <f>Table132[[#This Row],[Symbol]]</f>
        <v>Healthcare</v>
      </c>
      <c r="E62" s="34">
        <f>ROUND(SUM(G28:G28)/100, 3)</f>
        <v>3.3000000000000002E-2</v>
      </c>
      <c r="F62" s="47" t="str">
        <f>Table132[[#This Row],[Symbol]]</f>
        <v>Healthcare</v>
      </c>
      <c r="G62" s="34">
        <f>SUM(H28:H28)/(G60*C24)</f>
        <v>3.2749169486154396E-2</v>
      </c>
      <c r="H62" s="46"/>
      <c r="I62" s="94"/>
      <c r="J62" s="68" t="s">
        <v>77</v>
      </c>
      <c r="K62" s="102">
        <f>(SUM(H37:H48)+H32)/C25</f>
        <v>0.30093492854553161</v>
      </c>
      <c r="L62"/>
      <c r="M62"/>
      <c r="N62"/>
      <c r="O62"/>
      <c r="P62"/>
      <c r="Q62"/>
    </row>
    <row r="63" spans="1:17" ht="15" customHeight="1" x14ac:dyDescent="0.25">
      <c r="A63" s="44" t="s">
        <v>90</v>
      </c>
      <c r="B63" s="44"/>
      <c r="C63" s="45"/>
      <c r="D63" s="47" t="str">
        <f>Table132[[#This Row],[Symbol]]</f>
        <v>Financials</v>
      </c>
      <c r="E63" s="34">
        <f>ROUND(SUM(G29:G29)/100, 3)</f>
        <v>5.2999999999999999E-2</v>
      </c>
      <c r="F63" s="47" t="str">
        <f>Table132[[#This Row],[Symbol]]</f>
        <v>Financials</v>
      </c>
      <c r="G63" s="51">
        <f>SUM(H29:H29)/(G60*C24)</f>
        <v>5.3313156302559277E-2</v>
      </c>
      <c r="H63" s="46"/>
      <c r="I63" s="94"/>
      <c r="J63" s="68" t="s">
        <v>78</v>
      </c>
      <c r="K63" s="103">
        <f>(H57+H50)/C25</f>
        <v>4.2088363503864579E-2</v>
      </c>
      <c r="L63"/>
      <c r="M63"/>
      <c r="N63"/>
      <c r="O63"/>
      <c r="P63"/>
      <c r="Q63"/>
    </row>
    <row r="64" spans="1:17" ht="15" customHeight="1" x14ac:dyDescent="0.25">
      <c r="A64" s="44" t="s">
        <v>91</v>
      </c>
      <c r="B64" s="44"/>
      <c r="C64" s="45"/>
      <c r="D64" s="47" t="str">
        <f>Table132[[#This Row],[Symbol]]</f>
        <v>Techs</v>
      </c>
      <c r="E64" s="51">
        <f>ROUND(SUM(G30:G30)/100, 3)</f>
        <v>5.2999999999999999E-2</v>
      </c>
      <c r="F64" s="47" t="str">
        <f>Table132[[#This Row],[Symbol]]</f>
        <v>Techs</v>
      </c>
      <c r="G64" s="34">
        <f>SUM(H30:H30)/(G60*C24)</f>
        <v>5.2792068143104942E-2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0.311</v>
      </c>
      <c r="F65" s="47" t="str">
        <f>Table132[[#This Row],[Symbol]]</f>
        <v>Semiconductor</v>
      </c>
      <c r="G65" s="51">
        <f>SUM(H31:H33)/(G60*C24)</f>
        <v>0.31090317887823676</v>
      </c>
      <c r="H65" s="46"/>
      <c r="I65" s="94"/>
      <c r="K65" s="84"/>
      <c r="L65"/>
      <c r="M65"/>
      <c r="N65"/>
      <c r="O65"/>
      <c r="P65"/>
      <c r="Q65"/>
    </row>
    <row r="66" spans="1:17" ht="15.75" customHeight="1" x14ac:dyDescent="0.25">
      <c r="A66" s="44" t="s">
        <v>95</v>
      </c>
      <c r="B66" s="44"/>
      <c r="C66" s="45"/>
      <c r="D66" s="47" t="str">
        <f>Table132[[#This Row],[Symbol]]</f>
        <v>Russell</v>
      </c>
      <c r="E66" s="51">
        <f>ROUND(SUM(G34:G36)/100, 3)</f>
        <v>9.0999999999999998E-2</v>
      </c>
      <c r="F66" s="47" t="str">
        <f>Table132[[#This Row],[Symbol]]</f>
        <v>Russell</v>
      </c>
      <c r="G66" s="51">
        <f>SUM(H34:H36)/(G60*C24)</f>
        <v>9.0977232491980684E-2</v>
      </c>
      <c r="H66" s="46"/>
      <c r="I66" s="94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94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0.09</v>
      </c>
      <c r="F69" s="47" t="str">
        <f>Table132[[#This Row],[Symbol]]</f>
        <v>Int Stocks</v>
      </c>
      <c r="G69" s="34">
        <f>SUM(H37:H45)/(G60*C24)</f>
        <v>9.0060375648165686E-2</v>
      </c>
      <c r="H69" s="46"/>
      <c r="I69" s="46"/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64</v>
      </c>
      <c r="B70" s="44"/>
      <c r="C70" s="45"/>
      <c r="D70" s="47" t="str">
        <f>Table132[[#This Row],[Symbol]]</f>
        <v>JP Stocks</v>
      </c>
      <c r="E70" s="34">
        <f>ROUND(SUM(G46:G48)/100, 3)</f>
        <v>0.107</v>
      </c>
      <c r="F70" s="47" t="str">
        <f>Table132[[#This Row],[Symbol]]</f>
        <v>JP Stocks</v>
      </c>
      <c r="G70" s="51">
        <f>SUM(H46:H48)/(G60*C24)</f>
        <v>0.10677093183615824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72</v>
      </c>
      <c r="B71" s="44"/>
      <c r="C71" s="45"/>
      <c r="D71" s="47" t="str">
        <f>Table132[[#This Row],[Symbol]]</f>
        <v>Nasdaq</v>
      </c>
      <c r="E71" s="51">
        <f>ROUND(SUM(G49)/100, 3)</f>
        <v>0.13200000000000001</v>
      </c>
      <c r="F71" s="47" t="str">
        <f>Table132[[#This Row],[Symbol]]</f>
        <v>Nasdaq</v>
      </c>
      <c r="G71" s="51">
        <f>SUM(H49)/(G60*C24)</f>
        <v>0.13213768390167804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51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55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8.7999999999999995E-2</v>
      </c>
      <c r="F74" s="47" t="str">
        <f>Table132[[#This Row],[Symbol]]</f>
        <v>Bonds</v>
      </c>
      <c r="G74" s="51">
        <f>(SUM(H51:H56))/(G60*C24)</f>
        <v>8.8207839808097252E-2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3.7999999999999999E-2</v>
      </c>
      <c r="F76" s="47" t="str">
        <f>Table132[[#This Row],[Symbol]]</f>
        <v>Gold</v>
      </c>
      <c r="G76" s="51">
        <f>SUM(H57)/(G60*C24)</f>
        <v>3.7673493097890282E-2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4.4148704059742954E-3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0</v>
      </c>
      <c r="F79" s="47" t="str">
        <f>Table132[[#This Row],[Symbol]]</f>
        <v>Cash</v>
      </c>
      <c r="G79" s="34">
        <f>1-SUM(G61:G78)</f>
        <v>0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0</v>
      </c>
      <c r="F80" s="31"/>
      <c r="G80" s="34">
        <f>C24*G79</f>
        <v>0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2024-03-22T00:36:42Z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