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405" documentId="14_{A48F4B07-3EF3-43E5-91B2-4CA340E6013A}" xr6:coauthVersionLast="47" xr6:coauthVersionMax="47" xr10:uidLastSave="{A13D05F9-79E8-44E8-B5F4-C88BEC2AFBAE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E60" i="3" l="1"/>
  <c r="G30" i="3" s="1"/>
  <c r="E64" i="3" s="1"/>
  <c r="G41" i="3"/>
  <c r="G50" i="3" l="1"/>
  <c r="E77" i="3" s="1"/>
  <c r="G37" i="3"/>
  <c r="G35" i="3"/>
  <c r="G54" i="3"/>
  <c r="G53" i="3"/>
  <c r="G51" i="3"/>
  <c r="G31" i="3"/>
  <c r="G49" i="3"/>
  <c r="E71" i="3" s="1"/>
  <c r="G34" i="3"/>
  <c r="G38" i="3"/>
  <c r="G55" i="3"/>
  <c r="G47" i="3"/>
  <c r="G46" i="3"/>
  <c r="G48" i="3"/>
  <c r="G44" i="3"/>
  <c r="G52" i="3"/>
  <c r="G36" i="3"/>
  <c r="G33" i="3"/>
  <c r="G32" i="3"/>
  <c r="G28" i="3"/>
  <c r="E62" i="3" s="1"/>
  <c r="G29" i="3"/>
  <c r="E63" i="3" s="1"/>
  <c r="G40" i="3"/>
  <c r="G57" i="3"/>
  <c r="E76" i="3" s="1"/>
  <c r="G56" i="3"/>
  <c r="G39" i="3"/>
  <c r="G43" i="3"/>
  <c r="G45" i="3"/>
  <c r="G42" i="3"/>
  <c r="E70" i="3" l="1"/>
  <c r="E66" i="3"/>
  <c r="E74" i="3"/>
  <c r="E65" i="3"/>
  <c r="E69" i="3"/>
  <c r="E79" i="3" l="1"/>
  <c r="E80" i="3" s="1"/>
</calcChain>
</file>

<file path=xl/sharedStrings.xml><?xml version="1.0" encoding="utf-8"?>
<sst xmlns="http://schemas.openxmlformats.org/spreadsheetml/2006/main" count="130" uniqueCount="96">
  <si>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</si>
  <si>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</si>
  <si>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</si>
  <si>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</si>
  <si>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</si>
  <si>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</si>
  <si>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</si>
  <si>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</si>
  <si>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</si>
  <si>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</si>
  <si>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</si>
  <si>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</si>
  <si>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</si>
  <si>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</si>
  <si>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</si>
  <si>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</si>
  <si>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</si>
  <si>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</si>
  <si>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</si>
  <si>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</si>
  <si>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</si>
  <si>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</si>
  <si>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</si>
  <si>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</si>
  <si>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</si>
  <si>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</si>
  <si>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</si>
  <si>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</si>
  <si>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</si>
  <si>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</si>
  <si>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</si>
  <si>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</si>
  <si>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</si>
  <si>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</si>
  <si>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</si>
  <si>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</si>
  <si>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</si>
  <si>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</si>
  <si>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</si>
  <si>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</si>
  <si>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</si>
  <si>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</si>
  <si>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</si>
  <si>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</si>
  <si>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</si>
  <si>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</si>
  <si>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</si>
  <si>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</si>
  <si>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</si>
  <si>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</si>
  <si>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</si>
  <si>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</si>
  <si>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</si>
  <si>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</si>
  <si>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</si>
  <si>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</si>
  <si>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</si>
  <si>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</si>
  <si>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</si>
  <si>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</si>
  <si>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</si>
  <si>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</si>
  <si>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</si>
  <si>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</si>
  <si>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</si>
  <si>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</si>
  <si>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</si>
  <si>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</si>
  <si>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</si>
  <si>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</si>
  <si>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</si>
  <si>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</si>
  <si>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</si>
  <si>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</si>
  <si>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</si>
  <si>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</si>
  <si>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</si>
  <si>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</si>
  <si>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</si>
  <si>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</si>
  <si>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</si>
  <si>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</si>
  <si>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</si>
  <si>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</si>
  <si>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</si>
  <si>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</si>
  <si>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</si>
  <si>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</si>
  <si>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</si>
  <si>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</si>
  <si>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</si>
  <si>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</si>
  <si>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</si>
  <si>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</si>
  <si>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Market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</si>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</sst>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Russell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3.2000000000000001E-2</c:v>
                </c:pt>
                <c:pt idx="2">
                  <c:v>5.7000000000000002E-2</c:v>
                </c:pt>
                <c:pt idx="3">
                  <c:v>5.6000000000000001E-2</c:v>
                </c:pt>
                <c:pt idx="4">
                  <c:v>0.313</c:v>
                </c:pt>
                <c:pt idx="5">
                  <c:v>0.09</c:v>
                </c:pt>
                <c:pt idx="6">
                  <c:v>0</c:v>
                </c:pt>
                <c:pt idx="7">
                  <c:v>0</c:v>
                </c:pt>
                <c:pt idx="8">
                  <c:v>0.09</c:v>
                </c:pt>
                <c:pt idx="9">
                  <c:v>0.104</c:v>
                </c:pt>
                <c:pt idx="10">
                  <c:v>0.129</c:v>
                </c:pt>
                <c:pt idx="11">
                  <c:v>0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3.6999999999999998E-2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1.0000000000001119E-3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0.66291313046432232</c:v>
                </c:pt>
                <c:pt idx="1">
                  <c:v>0.29617836557451999</c:v>
                </c:pt>
                <c:pt idx="2">
                  <c:v>4.0908503961157645E-2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zoomScale="120" zoomScaleNormal="120" workbookViewId="0">
      <selection activeCell="K15" sqref="K1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45376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4.1833597199965222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56</v>
      </c>
      <c r="B4" s="57"/>
      <c r="C4" s="15">
        <f>SUM(H28:H28)/C24</f>
        <v>0.13484020510978195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92</v>
      </c>
      <c r="B5" s="57"/>
      <c r="C5" s="15">
        <f>SUM(H29:H29)/C24</f>
        <v>0.23647639032674819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93</v>
      </c>
      <c r="B6" s="57"/>
      <c r="C6" s="15">
        <f>SUM(H30:H30)/C24</f>
        <v>0.23514222609012875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1.310404542110349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86</v>
      </c>
      <c r="B8" s="110"/>
      <c r="C8" s="15">
        <f>SUM(H34:H36)/C24</f>
        <v>0.37552569564505228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83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84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0.37780288079290075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65</v>
      </c>
      <c r="B12" s="110"/>
      <c r="C12" s="15">
        <f>SUM(H46:H48)/C24</f>
        <v>0.43670567532782395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73</v>
      </c>
      <c r="B13" s="110"/>
      <c r="C13" s="15">
        <f>SUM(H49)/C24</f>
        <v>0.54079600297491548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85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58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0.36453111394239751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60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0.15299088876824099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50644289.619999997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50644289.619999997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211863281.24414596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68</v>
      </c>
      <c r="K27" s="93" t="s">
        <v>69</v>
      </c>
    </row>
    <row r="28" spans="1:17" x14ac:dyDescent="0.25">
      <c r="A28" s="44" t="s">
        <v>71</v>
      </c>
      <c r="B28" s="34" t="s">
        <v>14</v>
      </c>
      <c r="C28" s="94">
        <v>145.28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3.2229999999999999</v>
      </c>
      <c r="H28" s="39">
        <f>Table132[[#This Row],[New position]]*Table132[[#This Row],[Last_Price]]</f>
        <v>6828886.4000000004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88</v>
      </c>
      <c r="B29" s="44" t="s">
        <v>14</v>
      </c>
      <c r="C29" s="94">
        <v>41.42</v>
      </c>
      <c r="D29" s="34">
        <v>264998</v>
      </c>
      <c r="E29" s="34">
        <v>289140</v>
      </c>
      <c r="F29" s="33">
        <f>Table132[[#This Row],[New position]]-Table132[[#This Row],[Old position]]</f>
        <v>24142</v>
      </c>
      <c r="G29" s="34">
        <f>ROUND(Table132[[#This Row],[Target allocation ($)]]/(IF(G80&gt;0, G60,E60)*C24)*100,3)</f>
        <v>5.6529999999999996</v>
      </c>
      <c r="H29" s="39">
        <f>Table132[[#This Row],[New position]]*Table132[[#This Row],[Last_Price]]</f>
        <v>11976178.800000001</v>
      </c>
      <c r="I29" s="106"/>
      <c r="J29" s="95" t="s">
        <v>94</v>
      </c>
      <c r="K29" s="95">
        <v>41.33</v>
      </c>
      <c r="L29"/>
      <c r="M29"/>
      <c r="N29"/>
      <c r="O29"/>
      <c r="P29"/>
      <c r="Q29"/>
    </row>
    <row r="30" spans="1:17" x14ac:dyDescent="0.25">
      <c r="A30" s="34" t="s">
        <v>89</v>
      </c>
      <c r="B30" s="34" t="s">
        <v>14</v>
      </c>
      <c r="C30" s="94">
        <v>209</v>
      </c>
      <c r="D30" s="34">
        <v>52218</v>
      </c>
      <c r="E30" s="34">
        <v>56979</v>
      </c>
      <c r="F30" s="33">
        <f>Table132[[#This Row],[New position]]-Table132[[#This Row],[Old position]]</f>
        <v>4761</v>
      </c>
      <c r="G30" s="34">
        <f>ROUND(Table132[[#This Row],[Target allocation ($)]]/(IF(G80&gt;0, G60,E60)*C24)*100,3)</f>
        <v>5.6210000000000004</v>
      </c>
      <c r="H30" s="39">
        <f>Table132[[#This Row],[New position]]*Table132[[#This Row],[Last_Price]]</f>
        <v>11908611</v>
      </c>
      <c r="I30" s="106"/>
      <c r="J30" s="95" t="s">
        <v>94</v>
      </c>
      <c r="K30" s="95">
        <v>208.8</v>
      </c>
      <c r="L30"/>
      <c r="M30"/>
      <c r="N30"/>
      <c r="O30"/>
      <c r="P30"/>
      <c r="Q30"/>
    </row>
    <row r="31" spans="1:17" x14ac:dyDescent="0.25">
      <c r="A31" s="44" t="s">
        <v>70</v>
      </c>
      <c r="B31" s="44" t="s">
        <v>14</v>
      </c>
      <c r="C31" s="94">
        <v>226</v>
      </c>
      <c r="D31" s="34">
        <v>155165</v>
      </c>
      <c r="E31" s="34">
        <v>159589</v>
      </c>
      <c r="F31" s="33">
        <f>Table132[[#This Row],[New position]]-Table132[[#This Row],[Old position]]</f>
        <v>4424</v>
      </c>
      <c r="G31" s="34">
        <f>ROUND(Table132[[#This Row],[Target allocation ($)]]/(IF(G80&gt;0, G60,E60)*C24)*100,3)</f>
        <v>17.024000000000001</v>
      </c>
      <c r="H31" s="39">
        <f>Table132[[#This Row],[New position]]*Table132[[#This Row],[Last_Price]]</f>
        <v>36067114</v>
      </c>
      <c r="I31" s="27"/>
      <c r="J31" s="95" t="s">
        <v>94</v>
      </c>
      <c r="K31" s="95">
        <v>228.13</v>
      </c>
      <c r="L31"/>
      <c r="M31"/>
      <c r="N31"/>
      <c r="O31"/>
      <c r="P31"/>
      <c r="Q31"/>
    </row>
    <row r="32" spans="1:17" x14ac:dyDescent="0.25">
      <c r="A32" s="34" t="s">
        <v>61</v>
      </c>
      <c r="B32" s="34" t="s">
        <v>14</v>
      </c>
      <c r="C32" s="94">
        <v>67.05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10.148</v>
      </c>
      <c r="H32" s="39">
        <f>Table132[[#This Row],[New position]]*Table132[[#This Row],[Last_Price]]</f>
        <v>21499113.149999999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87</v>
      </c>
      <c r="B33" s="44" t="s">
        <v>14</v>
      </c>
      <c r="C33" s="94">
        <v>942</v>
      </c>
      <c r="D33" s="34">
        <v>8810</v>
      </c>
      <c r="E33" s="34">
        <v>9340</v>
      </c>
      <c r="F33" s="33">
        <f>Table132[[#This Row],[New position]]-Table132[[#This Row],[Old position]]</f>
        <v>530</v>
      </c>
      <c r="G33" s="34">
        <f>ROUND(Table132[[#This Row],[Target allocation ($)]]/(IF(G80&gt;0, G60,E60)*C24)*100,3)</f>
        <v>4.1529999999999996</v>
      </c>
      <c r="H33" s="39">
        <f>Table132[[#This Row],[New position]]*Table132[[#This Row],[Last_Price]]</f>
        <v>8798280</v>
      </c>
      <c r="I33" s="105"/>
      <c r="J33" s="95" t="s">
        <v>94</v>
      </c>
      <c r="K33" s="95">
        <v>956.37</v>
      </c>
      <c r="L33"/>
      <c r="M33"/>
      <c r="N33"/>
      <c r="O33"/>
      <c r="P33"/>
      <c r="Q33"/>
    </row>
    <row r="34" spans="1:17" x14ac:dyDescent="0.25">
      <c r="A34" s="44" t="s">
        <v>79</v>
      </c>
      <c r="B34" s="34" t="s">
        <v>14</v>
      </c>
      <c r="C34" s="94">
        <v>57.11</v>
      </c>
      <c r="D34" s="34">
        <v>177262</v>
      </c>
      <c r="E34" s="34">
        <v>181639</v>
      </c>
      <c r="F34" s="33">
        <f>Table132[[#This Row],[New position]]-Table132[[#This Row],[Old position]]</f>
        <v>4377</v>
      </c>
      <c r="G34" s="34">
        <f>ROUND(Table132[[#This Row],[Target allocation ($)]]/(IF(G80&gt;0, G60,E60)*C24)*100,3)</f>
        <v>4.8959999999999999</v>
      </c>
      <c r="H34" s="39">
        <f>Table132[[#This Row],[New position]]*Table132[[#This Row],[Last_Price]]</f>
        <v>10373403.289999999</v>
      </c>
      <c r="I34" s="105"/>
      <c r="J34" s="95" t="s">
        <v>94</v>
      </c>
      <c r="K34" s="95">
        <v>57.32</v>
      </c>
      <c r="L34"/>
      <c r="M34"/>
      <c r="N34"/>
      <c r="O34"/>
      <c r="P34"/>
      <c r="Q34"/>
    </row>
    <row r="35" spans="1:17" x14ac:dyDescent="0.25">
      <c r="A35" s="44" t="s">
        <v>80</v>
      </c>
      <c r="B35" s="44" t="s">
        <v>14</v>
      </c>
      <c r="C35" s="94">
        <v>205.08</v>
      </c>
      <c r="D35" s="34">
        <v>34640</v>
      </c>
      <c r="E35" s="34">
        <v>34640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3.3530000000000002</v>
      </c>
      <c r="H35" s="39">
        <f>Table132[[#This Row],[New position]]*Table132[[#This Row],[Last_Price]]</f>
        <v>7103971.2000000002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81</v>
      </c>
      <c r="B36" s="34" t="s">
        <v>14</v>
      </c>
      <c r="C36" s="46">
        <v>48.2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0.72699999999999998</v>
      </c>
      <c r="H36" s="39">
        <f>Table132[[#This Row],[New position]]*Table132[[#This Row],[Last_Price]]</f>
        <v>1540857.6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236.23324020000001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</v>
      </c>
      <c r="H37" s="39">
        <f>Table132[[#This Row],[New position]]*Table132[[#This Row],[Last_Price]]</f>
        <v>212609.91618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36.905370840000003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0.26700000000000002</v>
      </c>
      <c r="H38" s="39">
        <f>Table132[[#This Row],[New position]]*Table132[[#This Row],[Last_Price]]</f>
        <v>564652.17385200004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8.9769820970000005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9.2999999999999999E-2</v>
      </c>
      <c r="H39" s="39">
        <f>Table132[[#This Row],[New position]]*Table132[[#This Row],[Last_Price]]</f>
        <v>197493.606134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12.91560102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9.5000000000000001E-2</v>
      </c>
      <c r="H40" s="39">
        <f>Table132[[#This Row],[New position]]*Table132[[#This Row],[Last_Price]]</f>
        <v>201483.37591200002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0.824808184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0.65600000000000003</v>
      </c>
      <c r="H41" s="39">
        <f>Table132[[#This Row],[New position]]*Table132[[#This Row],[Last_Price]]</f>
        <v>1388976.9818559999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2.3043478259999999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2.7869999999999999</v>
      </c>
      <c r="H42" s="39">
        <f>Table132[[#This Row],[New position]]*Table132[[#This Row],[Last_Price]]</f>
        <v>5903739.1302119996</v>
      </c>
      <c r="I42" s="59"/>
      <c r="J42" s="95"/>
      <c r="K42" s="95"/>
      <c r="L42"/>
      <c r="N42"/>
      <c r="O42"/>
      <c r="P42"/>
      <c r="Q42"/>
    </row>
    <row r="43" spans="1:17" x14ac:dyDescent="0.25">
      <c r="A43" s="34" t="s">
        <v>67</v>
      </c>
      <c r="B43" s="34" t="s">
        <v>14</v>
      </c>
      <c r="C43" s="94">
        <v>42.66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4.8239999999999998</v>
      </c>
      <c r="H43" s="39">
        <f>Table132[[#This Row],[New position]]*Table132[[#This Row],[Last_Price]]</f>
        <v>10220994.719999999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52</v>
      </c>
      <c r="B44" s="34" t="s">
        <v>14</v>
      </c>
      <c r="C44" s="46">
        <v>84.66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6.6000000000000003E-2</v>
      </c>
      <c r="H44" s="39">
        <f>Table132[[#This Row],[New position]]*Table132[[#This Row],[Last_Price]]</f>
        <v>139689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54</v>
      </c>
      <c r="B45" s="34" t="s">
        <v>14</v>
      </c>
      <c r="C45" s="46">
        <v>23.11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0.14299999999999999</v>
      </c>
      <c r="H45" s="39">
        <f>Table132[[#This Row],[New position]]*Table132[[#This Row],[Last_Price]]</f>
        <v>303919.61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53</v>
      </c>
      <c r="B46" s="44" t="s">
        <v>14</v>
      </c>
      <c r="C46" s="46">
        <v>70.95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0.72599999999999998</v>
      </c>
      <c r="H46" s="39">
        <f>Table132[[#This Row],[New position]]*Table132[[#This Row],[Last_Price]]</f>
        <v>1538054.1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62</v>
      </c>
      <c r="B47" s="44" t="s">
        <v>14</v>
      </c>
      <c r="C47" s="46">
        <v>33.33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5.2999999999999999E-2</v>
      </c>
      <c r="H47" s="39">
        <f>Table132[[#This Row],[New position]]*Table132[[#This Row],[Last_Price]]</f>
        <v>113322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63</v>
      </c>
      <c r="B48" s="34" t="s">
        <v>14</v>
      </c>
      <c r="C48" s="46">
        <v>108.2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9.66</v>
      </c>
      <c r="H48" s="39">
        <f>Table132[[#This Row],[New position]]*Table132[[#This Row],[Last_Price]]</f>
        <v>20465272.600000001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443.8</v>
      </c>
      <c r="D49" s="34">
        <v>61713</v>
      </c>
      <c r="E49" s="34">
        <v>61713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12.927</v>
      </c>
      <c r="H49" s="39">
        <f>Table132[[#This Row],[New position]]*Table132[[#This Row],[Last_Price]]</f>
        <v>27388229.400000002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49.67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0.434</v>
      </c>
      <c r="H50" s="39">
        <f>Table132[[#This Row],[New position]]*Table132[[#This Row],[Last_Price]]</f>
        <v>918895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80.430000000000007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1.379</v>
      </c>
      <c r="H51" s="39">
        <f>Table132[[#This Row],[New position]]*Table132[[#This Row],[Last_Price]]</f>
        <v>2920574.16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72.45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1.3109999999999999</v>
      </c>
      <c r="H52" s="39">
        <f>Table132[[#This Row],[New position]]*Table132[[#This Row],[Last_Price]]</f>
        <v>2778457.5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93.74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2.831</v>
      </c>
      <c r="H53" s="39">
        <f>Table132[[#This Row],[New position]]*Table132[[#This Row],[Last_Price]]</f>
        <v>5997016.5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108.67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1.371</v>
      </c>
      <c r="H54" s="39">
        <f>Table132[[#This Row],[New position]]*Table132[[#This Row],[Last_Price]]</f>
        <v>2904205.75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36.57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1.3520000000000001</v>
      </c>
      <c r="H55" s="39">
        <f>Table132[[#This Row],[New position]]*Table132[[#This Row],[Last_Price]]</f>
        <v>2864308.68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66</v>
      </c>
      <c r="B56" s="44" t="s">
        <v>14</v>
      </c>
      <c r="C56" s="46">
        <v>47.44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0.47099999999999997</v>
      </c>
      <c r="H56" s="39">
        <f>Table132[[#This Row],[New position]]*Table132[[#This Row],[Last_Price]]</f>
        <v>996856.72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201.02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3.657</v>
      </c>
      <c r="H57" s="39">
        <f>Table132[[#This Row],[New position]]*Table132[[#This Row],[Last_Price]]</f>
        <v>7748114.8800000008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4.1833597199965222</v>
      </c>
      <c r="F60" s="31"/>
      <c r="G60" s="34">
        <v>4.1230000000000002</v>
      </c>
      <c r="H60" s="46"/>
      <c r="I60" s="48"/>
      <c r="J60" s="101" t="s">
        <v>74</v>
      </c>
      <c r="K60" s="82" t="s">
        <v>75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76</v>
      </c>
      <c r="K61" s="104">
        <f>1-SUM(K62:K63)</f>
        <v>0.66291313046432232</v>
      </c>
      <c r="L61"/>
      <c r="M61"/>
      <c r="N61"/>
      <c r="O61"/>
      <c r="P61"/>
      <c r="Q61"/>
    </row>
    <row r="62" spans="1:17" ht="15" customHeight="1" x14ac:dyDescent="0.25">
      <c r="A62" s="44" t="s">
        <v>57</v>
      </c>
      <c r="B62" s="44"/>
      <c r="C62" s="45"/>
      <c r="D62" s="47" t="str">
        <f>Table132[[#This Row],[Symbol]]</f>
        <v>Healthcare</v>
      </c>
      <c r="E62" s="34">
        <f>ROUND(SUM(G28:G28)/100, 3)</f>
        <v>3.2000000000000001E-2</v>
      </c>
      <c r="F62" s="47" t="str">
        <f>Table132[[#This Row],[Symbol]]</f>
        <v>Healthcare</v>
      </c>
      <c r="G62" s="34">
        <f>SUM(H28:H28)/(G60*C24)</f>
        <v>3.2704391246612161E-2</v>
      </c>
      <c r="H62" s="46"/>
      <c r="I62" s="94"/>
      <c r="J62" s="68" t="s">
        <v>77</v>
      </c>
      <c r="K62" s="102">
        <f>(SUM(H37:H48)+H32)/C25</f>
        <v>0.29617836557451999</v>
      </c>
      <c r="L62"/>
      <c r="M62"/>
      <c r="N62"/>
      <c r="O62"/>
      <c r="P62"/>
      <c r="Q62"/>
    </row>
    <row r="63" spans="1:17" ht="15" customHeight="1" x14ac:dyDescent="0.25">
      <c r="A63" s="44" t="s">
        <v>90</v>
      </c>
      <c r="B63" s="44"/>
      <c r="C63" s="45"/>
      <c r="D63" s="47" t="str">
        <f>Table132[[#This Row],[Symbol]]</f>
        <v>Financials</v>
      </c>
      <c r="E63" s="34">
        <f>ROUND(SUM(G29:G29)/100, 3)</f>
        <v>5.7000000000000002E-2</v>
      </c>
      <c r="F63" s="47" t="str">
        <f>Table132[[#This Row],[Symbol]]</f>
        <v>Financials</v>
      </c>
      <c r="G63" s="51">
        <f>SUM(H29:H29)/(G60*C24)</f>
        <v>5.7355418463921455E-2</v>
      </c>
      <c r="H63" s="46"/>
      <c r="I63" s="94"/>
      <c r="J63" s="68" t="s">
        <v>78</v>
      </c>
      <c r="K63" s="103">
        <f>(H57+H50)/C25</f>
        <v>4.0908503961157645E-2</v>
      </c>
      <c r="L63"/>
      <c r="M63"/>
      <c r="N63"/>
      <c r="O63"/>
      <c r="P63"/>
      <c r="Q63"/>
    </row>
    <row r="64" spans="1:17" ht="15" customHeight="1" x14ac:dyDescent="0.25">
      <c r="A64" s="44" t="s">
        <v>91</v>
      </c>
      <c r="B64" s="44"/>
      <c r="C64" s="45"/>
      <c r="D64" s="47" t="str">
        <f>Table132[[#This Row],[Symbol]]</f>
        <v>Techs</v>
      </c>
      <c r="E64" s="51">
        <f>ROUND(SUM(G30:G30)/100, 3)</f>
        <v>5.6000000000000001E-2</v>
      </c>
      <c r="F64" s="47" t="str">
        <f>Table132[[#This Row],[Symbol]]</f>
        <v>Techs</v>
      </c>
      <c r="G64" s="34">
        <f>SUM(H30:H30)/(G60*C24)</f>
        <v>5.7031827817154677E-2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0.313</v>
      </c>
      <c r="F65" s="47" t="str">
        <f>Table132[[#This Row],[Symbol]]</f>
        <v>Semiconductor</v>
      </c>
      <c r="G65" s="51">
        <f>SUM(H31:H33)/(G60*C24)</f>
        <v>0.31782792677912902</v>
      </c>
      <c r="H65" s="46"/>
      <c r="I65" s="94"/>
      <c r="K65" s="84"/>
      <c r="L65"/>
      <c r="M65"/>
      <c r="N65"/>
      <c r="O65"/>
      <c r="P65"/>
      <c r="Q65"/>
    </row>
    <row r="66" spans="1:17" ht="15.75" customHeight="1" x14ac:dyDescent="0.25">
      <c r="A66" s="44" t="s">
        <v>95</v>
      </c>
      <c r="B66" s="44"/>
      <c r="C66" s="45"/>
      <c r="D66" s="47" t="str">
        <f>Table132[[#This Row],[Symbol]]</f>
        <v>Russell</v>
      </c>
      <c r="E66" s="51">
        <f>ROUND(SUM(G34:G36)/100, 3)</f>
        <v>0.09</v>
      </c>
      <c r="F66" s="47" t="str">
        <f>Table132[[#This Row],[Symbol]]</f>
        <v>Russell</v>
      </c>
      <c r="G66" s="51">
        <f>SUM(H34:H36)/(G60*C24)</f>
        <v>9.1080692613400988E-2</v>
      </c>
      <c r="H66" s="46"/>
      <c r="I66" s="94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0.09</v>
      </c>
      <c r="F69" s="47" t="str">
        <f>Table132[[#This Row],[Symbol]]</f>
        <v>Int Stocks</v>
      </c>
      <c r="G69" s="34">
        <f>SUM(H37:H45)/(G60*C24)</f>
        <v>9.1633005285690211E-2</v>
      </c>
      <c r="H69" s="46"/>
      <c r="I69" s="46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64</v>
      </c>
      <c r="B70" s="44"/>
      <c r="C70" s="45"/>
      <c r="D70" s="47" t="str">
        <f>Table132[[#This Row],[Symbol]]</f>
        <v>JP Stocks</v>
      </c>
      <c r="E70" s="34">
        <f>ROUND(SUM(G46:G48)/100, 3)</f>
        <v>0.104</v>
      </c>
      <c r="F70" s="47" t="str">
        <f>Table132[[#This Row],[Symbol]]</f>
        <v>JP Stocks</v>
      </c>
      <c r="G70" s="51">
        <f>SUM(H46:H48)/(G60*C24)</f>
        <v>0.10591939736304241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72</v>
      </c>
      <c r="B71" s="44"/>
      <c r="C71" s="45"/>
      <c r="D71" s="47" t="str">
        <f>Table132[[#This Row],[Symbol]]</f>
        <v>Nasdaq</v>
      </c>
      <c r="E71" s="51">
        <f>ROUND(SUM(G49)/100, 3)</f>
        <v>0.129</v>
      </c>
      <c r="F71" s="47" t="str">
        <f>Table132[[#This Row],[Symbol]]</f>
        <v>Nasdaq</v>
      </c>
      <c r="G71" s="51">
        <f>SUM(H49)/(G60*C24)</f>
        <v>0.13116565679721451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51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55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8.6999999999999994E-2</v>
      </c>
      <c r="F74" s="47" t="str">
        <f>Table132[[#This Row],[Symbol]]</f>
        <v>Bonds</v>
      </c>
      <c r="G74" s="51">
        <f>(SUM(H51:H56))/(G60*C24)</f>
        <v>8.8414046554061959E-2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3.6999999999999998E-2</v>
      </c>
      <c r="F76" s="47" t="str">
        <f>Table132[[#This Row],[Symbol]]</f>
        <v>Gold</v>
      </c>
      <c r="G76" s="51">
        <f>SUM(H57)/(G60*C24)</f>
        <v>3.7106691430570209E-2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4.4007031065205126E-3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1.0000000000001119E-3</v>
      </c>
      <c r="F79" s="47" t="str">
        <f>Table132[[#This Row],[Symbol]]</f>
        <v>Cash</v>
      </c>
      <c r="G79" s="34">
        <f>1-SUM(G61:G78)</f>
        <v>-1.4639757457318048E-2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50644.289620005664</v>
      </c>
      <c r="F80" s="31"/>
      <c r="G80" s="34">
        <f>C24*G79</f>
        <v>-741420.11663496995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2024-04-01T00:46:56Z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