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410" documentId="14_{A48F4B07-3EF3-43E5-91B2-4CA340E6013A}" xr6:coauthVersionLast="47" xr6:coauthVersionMax="47" xr10:uidLastSave="{269E0AE7-3BCD-48A6-8382-F7D6FB8343CC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<sst xmlns="http://schemas.openxmlformats.org/spreadsheetml/2006/main" count="125" uniqueCount="95">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</sst>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3.2000000000000001E-2</c:v>
                </c:pt>
                <c:pt idx="2">
                  <c:v>5.7000000000000002E-2</c:v>
                </c:pt>
                <c:pt idx="3">
                  <c:v>5.6000000000000001E-2</c:v>
                </c:pt>
                <c:pt idx="4">
                  <c:v>0.313</c:v>
                </c:pt>
                <c:pt idx="5">
                  <c:v>0.09</c:v>
                </c:pt>
                <c:pt idx="6">
                  <c:v>0</c:v>
                </c:pt>
                <c:pt idx="7">
                  <c:v>0</c:v>
                </c:pt>
                <c:pt idx="8">
                  <c:v>0.09</c:v>
                </c:pt>
                <c:pt idx="9">
                  <c:v>0.104</c:v>
                </c:pt>
                <c:pt idx="10">
                  <c:v>0.129</c:v>
                </c:pt>
                <c:pt idx="11">
                  <c:v>0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3.6999999999999998E-2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1.0000000000001119E-3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0.66291313046432232</c:v>
                </c:pt>
                <c:pt idx="1">
                  <c:v>0.29617836557451999</c:v>
                </c:pt>
                <c:pt idx="2">
                  <c:v>4.0908503961157645E-2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22" zoomScale="120" zoomScaleNormal="120" workbookViewId="0">
      <selection activeCell="M29" sqref="M2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45378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4.1833597199965222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0.13484020510978195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0.23647639032674819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0.23514222609012875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1.310404542110349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0.37552569564505228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0.37780288079290075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0.43670567532782395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0.54079600297491548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0.36453111394239751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0.15299088876824099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211863281.24414596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145.28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3.2229999999999999</v>
      </c>
      <c r="H28" s="39">
        <f>Table132[[#This Row],[New position]]*Table132[[#This Row],[Last_Price]]</f>
        <v>6828886.4000000004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41.42</v>
      </c>
      <c r="D29" s="34">
        <v>264998</v>
      </c>
      <c r="E29" s="34">
        <v>289140</v>
      </c>
      <c r="F29" s="33">
        <f>Table132[[#This Row],[New position]]-Table132[[#This Row],[Old position]]</f>
        <v>24142</v>
      </c>
      <c r="G29" s="34">
        <f>ROUND(Table132[[#This Row],[Target allocation ($)]]/(IF(G80&gt;0, G60,E60)*C24)*100,3)</f>
        <v>5.6529999999999996</v>
      </c>
      <c r="H29" s="39">
        <f>Table132[[#This Row],[New position]]*Table132[[#This Row],[Last_Price]]</f>
        <v>11976178.800000001</v>
      </c>
      <c r="I29" s="106"/>
      <c r="J29" s="95"/>
      <c r="K29" s="95"/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209</v>
      </c>
      <c r="D30" s="34">
        <v>52218</v>
      </c>
      <c r="E30" s="34">
        <v>56979</v>
      </c>
      <c r="F30" s="33">
        <f>Table132[[#This Row],[New position]]-Table132[[#This Row],[Old position]]</f>
        <v>4761</v>
      </c>
      <c r="G30" s="34">
        <f>ROUND(Table132[[#This Row],[Target allocation ($)]]/(IF(G80&gt;0, G60,E60)*C24)*100,3)</f>
        <v>5.6210000000000004</v>
      </c>
      <c r="H30" s="39">
        <f>Table132[[#This Row],[New position]]*Table132[[#This Row],[Last_Price]]</f>
        <v>11908611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226</v>
      </c>
      <c r="D31" s="34">
        <v>155165</v>
      </c>
      <c r="E31" s="34">
        <v>159589</v>
      </c>
      <c r="F31" s="33">
        <f>Table132[[#This Row],[New position]]-Table132[[#This Row],[Old position]]</f>
        <v>4424</v>
      </c>
      <c r="G31" s="34">
        <f>ROUND(Table132[[#This Row],[Target allocation ($)]]/(IF(G80&gt;0, G60,E60)*C24)*100,3)</f>
        <v>17.024000000000001</v>
      </c>
      <c r="H31" s="39">
        <f>Table132[[#This Row],[New position]]*Table132[[#This Row],[Last_Price]]</f>
        <v>36067114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67.05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10.148</v>
      </c>
      <c r="H32" s="39">
        <f>Table132[[#This Row],[New position]]*Table132[[#This Row],[Last_Price]]</f>
        <v>21499113.149999999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942</v>
      </c>
      <c r="D33" s="34">
        <v>8810</v>
      </c>
      <c r="E33" s="34">
        <v>9340</v>
      </c>
      <c r="F33" s="33">
        <f>Table132[[#This Row],[New position]]-Table132[[#This Row],[Old position]]</f>
        <v>530</v>
      </c>
      <c r="G33" s="34">
        <f>ROUND(Table132[[#This Row],[Target allocation ($)]]/(IF(G80&gt;0, G60,E60)*C24)*100,3)</f>
        <v>4.1529999999999996</v>
      </c>
      <c r="H33" s="39">
        <f>Table132[[#This Row],[New position]]*Table132[[#This Row],[Last_Price]]</f>
        <v>8798280</v>
      </c>
      <c r="I33" s="105"/>
      <c r="J33" s="95"/>
      <c r="K33" s="95"/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57.11</v>
      </c>
      <c r="D34" s="34">
        <v>177262</v>
      </c>
      <c r="E34" s="34">
        <v>181639</v>
      </c>
      <c r="F34" s="33">
        <f>Table132[[#This Row],[New position]]-Table132[[#This Row],[Old position]]</f>
        <v>4377</v>
      </c>
      <c r="G34" s="34">
        <f>ROUND(Table132[[#This Row],[Target allocation ($)]]/(IF(G80&gt;0, G60,E60)*C24)*100,3)</f>
        <v>4.8959999999999999</v>
      </c>
      <c r="H34" s="39">
        <f>Table132[[#This Row],[New position]]*Table132[[#This Row],[Last_Price]]</f>
        <v>10373403.289999999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205.08</v>
      </c>
      <c r="D35" s="34">
        <v>34640</v>
      </c>
      <c r="E35" s="34">
        <v>34640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3.3530000000000002</v>
      </c>
      <c r="H35" s="39">
        <f>Table132[[#This Row],[New position]]*Table132[[#This Row],[Last_Price]]</f>
        <v>7103971.2000000002</v>
      </c>
      <c r="I35" s="105"/>
      <c r="J35" s="95"/>
      <c r="K35" s="96"/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48.2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0.72699999999999998</v>
      </c>
      <c r="H36" s="39">
        <f>Table132[[#This Row],[New position]]*Table132[[#This Row],[Last_Price]]</f>
        <v>1540857.6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236.23324020000001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</v>
      </c>
      <c r="H37" s="39">
        <f>Table132[[#This Row],[New position]]*Table132[[#This Row],[Last_Price]]</f>
        <v>212609.91618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36.905370840000003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0.26700000000000002</v>
      </c>
      <c r="H38" s="39">
        <f>Table132[[#This Row],[New position]]*Table132[[#This Row],[Last_Price]]</f>
        <v>564652.17385200004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8.9769820970000005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9.2999999999999999E-2</v>
      </c>
      <c r="H39" s="39">
        <f>Table132[[#This Row],[New position]]*Table132[[#This Row],[Last_Price]]</f>
        <v>197493.606134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12.91560102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9.5000000000000001E-2</v>
      </c>
      <c r="H40" s="39">
        <f>Table132[[#This Row],[New position]]*Table132[[#This Row],[Last_Price]]</f>
        <v>201483.37591200002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0.824808184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0.65600000000000003</v>
      </c>
      <c r="H41" s="39">
        <f>Table132[[#This Row],[New position]]*Table132[[#This Row],[Last_Price]]</f>
        <v>1388976.9818559999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2.3043478259999999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2.7869999999999999</v>
      </c>
      <c r="H42" s="39">
        <f>Table132[[#This Row],[New position]]*Table132[[#This Row],[Last_Price]]</f>
        <v>5903739.1302119996</v>
      </c>
      <c r="I42" s="59"/>
      <c r="J42" s="95"/>
      <c r="K42" s="95"/>
      <c r="L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42.66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4.8239999999999998</v>
      </c>
      <c r="H43" s="39">
        <f>Table132[[#This Row],[New position]]*Table132[[#This Row],[Last_Price]]</f>
        <v>10220994.719999999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84.66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6.6000000000000003E-2</v>
      </c>
      <c r="H44" s="39">
        <f>Table132[[#This Row],[New position]]*Table132[[#This Row],[Last_Price]]</f>
        <v>139689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23.11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0.14299999999999999</v>
      </c>
      <c r="H45" s="39">
        <f>Table132[[#This Row],[New position]]*Table132[[#This Row],[Last_Price]]</f>
        <v>303919.61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70.95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0.72599999999999998</v>
      </c>
      <c r="H46" s="39">
        <f>Table132[[#This Row],[New position]]*Table132[[#This Row],[Last_Price]]</f>
        <v>1538054.1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33.33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5.2999999999999999E-2</v>
      </c>
      <c r="H47" s="39">
        <f>Table132[[#This Row],[New position]]*Table132[[#This Row],[Last_Price]]</f>
        <v>113322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108.2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9.66</v>
      </c>
      <c r="H48" s="39">
        <f>Table132[[#This Row],[New position]]*Table132[[#This Row],[Last_Price]]</f>
        <v>20465272.600000001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443.8</v>
      </c>
      <c r="D49" s="34">
        <v>61713</v>
      </c>
      <c r="E49" s="34">
        <v>61713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12.927</v>
      </c>
      <c r="H49" s="39">
        <f>Table132[[#This Row],[New position]]*Table132[[#This Row],[Last_Price]]</f>
        <v>27388229.400000002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49.67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0.434</v>
      </c>
      <c r="H50" s="39">
        <f>Table132[[#This Row],[New position]]*Table132[[#This Row],[Last_Price]]</f>
        <v>918895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80.430000000000007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1.379</v>
      </c>
      <c r="H51" s="39">
        <f>Table132[[#This Row],[New position]]*Table132[[#This Row],[Last_Price]]</f>
        <v>2920574.16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72.45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1.3109999999999999</v>
      </c>
      <c r="H52" s="39">
        <f>Table132[[#This Row],[New position]]*Table132[[#This Row],[Last_Price]]</f>
        <v>2778457.5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93.74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2.831</v>
      </c>
      <c r="H53" s="39">
        <f>Table132[[#This Row],[New position]]*Table132[[#This Row],[Last_Price]]</f>
        <v>5997016.5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108.67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1.371</v>
      </c>
      <c r="H54" s="39">
        <f>Table132[[#This Row],[New position]]*Table132[[#This Row],[Last_Price]]</f>
        <v>2904205.75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36.57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1.3520000000000001</v>
      </c>
      <c r="H55" s="39">
        <f>Table132[[#This Row],[New position]]*Table132[[#This Row],[Last_Price]]</f>
        <v>2864308.68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47.44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0.47099999999999997</v>
      </c>
      <c r="H56" s="39">
        <f>Table132[[#This Row],[New position]]*Table132[[#This Row],[Last_Price]]</f>
        <v>996856.72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201.02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3.657</v>
      </c>
      <c r="H57" s="39">
        <f>Table132[[#This Row],[New position]]*Table132[[#This Row],[Last_Price]]</f>
        <v>7748114.8800000008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4.1833597199965222</v>
      </c>
      <c r="F60" s="31"/>
      <c r="G60" s="34">
        <v>4.1230000000000002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0.66291313046432232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3.2000000000000001E-2</v>
      </c>
      <c r="F62" s="47" t="str">
        <f>Table132[[#This Row],[Symbol]]</f>
        <v>Healthcare</v>
      </c>
      <c r="G62" s="34">
        <f>SUM(H28:H28)/(G60*C24)</f>
        <v>3.2704391246612161E-2</v>
      </c>
      <c r="H62" s="46"/>
      <c r="I62" s="94"/>
      <c r="J62" s="68" t="s">
        <v>77</v>
      </c>
      <c r="K62" s="102">
        <f>(SUM(H37:H48)+H32)/C25</f>
        <v>0.29617836557451999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5.7000000000000002E-2</v>
      </c>
      <c r="F63" s="47" t="str">
        <f>Table132[[#This Row],[Symbol]]</f>
        <v>Financials</v>
      </c>
      <c r="G63" s="51">
        <f>SUM(H29:H29)/(G60*C24)</f>
        <v>5.7355418463921455E-2</v>
      </c>
      <c r="H63" s="46"/>
      <c r="I63" s="94"/>
      <c r="J63" s="68" t="s">
        <v>78</v>
      </c>
      <c r="K63" s="103">
        <f>(H57+H50)/C25</f>
        <v>4.0908503961157645E-2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5.6000000000000001E-2</v>
      </c>
      <c r="F64" s="47" t="str">
        <f>Table132[[#This Row],[Symbol]]</f>
        <v>Techs</v>
      </c>
      <c r="G64" s="34">
        <f>SUM(H30:H30)/(G60*C24)</f>
        <v>5.7031827817154677E-2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0.313</v>
      </c>
      <c r="F65" s="47" t="str">
        <f>Table132[[#This Row],[Symbol]]</f>
        <v>Semiconductor</v>
      </c>
      <c r="G65" s="51">
        <f>SUM(H31:H33)/(G60*C24)</f>
        <v>0.31782792677912902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94</v>
      </c>
      <c r="B66" s="44"/>
      <c r="C66" s="45"/>
      <c r="D66" s="47" t="str">
        <f>Table132[[#This Row],[Symbol]]</f>
        <v>Russell</v>
      </c>
      <c r="E66" s="51">
        <f>ROUND(SUM(G34:G36)/100, 3)</f>
        <v>0.09</v>
      </c>
      <c r="F66" s="47" t="str">
        <f>Table132[[#This Row],[Symbol]]</f>
        <v>Russell</v>
      </c>
      <c r="G66" s="51">
        <f>SUM(H34:H36)/(G60*C24)</f>
        <v>9.1080692613400988E-2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0.09</v>
      </c>
      <c r="F69" s="47" t="str">
        <f>Table132[[#This Row],[Symbol]]</f>
        <v>Int Stocks</v>
      </c>
      <c r="G69" s="34">
        <f>SUM(H37:H45)/(G60*C24)</f>
        <v>9.1633005285690211E-2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0.104</v>
      </c>
      <c r="F70" s="47" t="str">
        <f>Table132[[#This Row],[Symbol]]</f>
        <v>JP Stocks</v>
      </c>
      <c r="G70" s="51">
        <f>SUM(H46:H48)/(G60*C24)</f>
        <v>0.10591939736304241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0.129</v>
      </c>
      <c r="F71" s="47" t="str">
        <f>Table132[[#This Row],[Symbol]]</f>
        <v>Nasdaq</v>
      </c>
      <c r="G71" s="51">
        <f>SUM(H49)/(G60*C24)</f>
        <v>0.13116565679721451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8.6999999999999994E-2</v>
      </c>
      <c r="F74" s="47" t="str">
        <f>Table132[[#This Row],[Symbol]]</f>
        <v>Bonds</v>
      </c>
      <c r="G74" s="51">
        <f>(SUM(H51:H56))/(G60*C24)</f>
        <v>8.8414046554061959E-2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3.6999999999999998E-2</v>
      </c>
      <c r="F76" s="47" t="str">
        <f>Table132[[#This Row],[Symbol]]</f>
        <v>Gold</v>
      </c>
      <c r="G76" s="51">
        <f>SUM(H57)/(G60*C24)</f>
        <v>3.7106691430570209E-2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4.4007031065205126E-3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1.0000000000001119E-3</v>
      </c>
      <c r="F79" s="47" t="str">
        <f>Table132[[#This Row],[Symbol]]</f>
        <v>Cash</v>
      </c>
      <c r="G79" s="34">
        <f>1-SUM(G61:G78)</f>
        <v>-1.4639757457318048E-2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50644.289620005664</v>
      </c>
      <c r="F80" s="31"/>
      <c r="G80" s="34">
        <f>C24*G79</f>
        <v>-741420.11663496995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2024-04-01T00:46:35Z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