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4-2024/"/>
    </mc:Choice>
  </mc:AlternateContent>
  <xr:revisionPtr revIDLastSave="4463" documentId="14_{A48F4B07-3EF3-43E5-91B2-4CA340E6013A}" xr6:coauthVersionLast="47" xr6:coauthVersionMax="47" xr10:uidLastSave="{02684A6A-1375-4104-8A57-7C6F8379B39F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4" i="3" l="1"/>
  <c r="G63" i="3"/>
  <c r="F64" i="3"/>
  <c r="D64" i="3"/>
  <c r="F29" i="3" l="1"/>
  <c r="H29" i="3"/>
  <c r="F65" i="3" l="1"/>
  <c r="F66" i="3"/>
  <c r="D65" i="3"/>
  <c r="D66" i="3"/>
  <c r="H30" i="3"/>
  <c r="H31" i="3"/>
  <c r="F30" i="3"/>
  <c r="F31" i="3"/>
  <c r="H34" i="3"/>
  <c r="F34" i="3"/>
  <c r="H35" i="3" l="1"/>
  <c r="H36" i="3"/>
  <c r="H37" i="3"/>
  <c r="F35" i="3"/>
  <c r="F36" i="3"/>
  <c r="F37" i="3"/>
  <c r="F51" i="3"/>
  <c r="H51" i="3"/>
  <c r="E75" i="3" l="1"/>
  <c r="E80" i="3" l="1"/>
  <c r="F50" i="3"/>
  <c r="H50" i="3" l="1"/>
  <c r="E77" i="3"/>
  <c r="E74" i="3"/>
  <c r="H28" i="3"/>
  <c r="F28" i="3"/>
  <c r="E62" i="3"/>
  <c r="H32" i="3"/>
  <c r="F32" i="3"/>
  <c r="F44" i="3" l="1"/>
  <c r="H44" i="3"/>
  <c r="E70" i="3" l="1"/>
  <c r="E69" i="3"/>
  <c r="F48" i="3"/>
  <c r="F72" i="3" l="1"/>
  <c r="D72" i="3"/>
  <c r="F58" i="3" l="1"/>
  <c r="H58" i="3"/>
  <c r="H48" i="3" l="1"/>
  <c r="H47" i="3"/>
  <c r="F47" i="3"/>
  <c r="D77" i="3" l="1"/>
  <c r="F77" i="3"/>
  <c r="D63" i="3" l="1"/>
  <c r="D67" i="3"/>
  <c r="D68" i="3"/>
  <c r="D69" i="3"/>
  <c r="D70" i="3"/>
  <c r="D71" i="3"/>
  <c r="D73" i="3"/>
  <c r="D74" i="3"/>
  <c r="D75" i="3"/>
  <c r="D76" i="3"/>
  <c r="D78" i="3"/>
  <c r="D79" i="3"/>
  <c r="D80" i="3"/>
  <c r="D81" i="3"/>
  <c r="F63" i="3"/>
  <c r="H43" i="3"/>
  <c r="F43" i="3"/>
  <c r="F45" i="3"/>
  <c r="F46" i="3"/>
  <c r="H45" i="3"/>
  <c r="H46" i="3"/>
  <c r="F42" i="3" l="1"/>
  <c r="H42" i="3"/>
  <c r="F75" i="3"/>
  <c r="D62" i="3" l="1"/>
  <c r="F71" i="3"/>
  <c r="F69" i="3"/>
  <c r="F68" i="3"/>
  <c r="F67" i="3"/>
  <c r="F62" i="3"/>
  <c r="F74" i="3"/>
  <c r="F70" i="3" l="1"/>
  <c r="F73" i="3"/>
  <c r="F76" i="3"/>
  <c r="F78" i="3"/>
  <c r="F79" i="3"/>
  <c r="F80" i="3"/>
  <c r="F81" i="3"/>
  <c r="H54" i="3" l="1"/>
  <c r="H53" i="3" l="1"/>
  <c r="H55" i="3"/>
  <c r="H56" i="3"/>
  <c r="H57" i="3"/>
  <c r="F53" i="3"/>
  <c r="F54" i="3"/>
  <c r="F55" i="3"/>
  <c r="F56" i="3"/>
  <c r="F57" i="3"/>
  <c r="F38" i="3" l="1"/>
  <c r="F39" i="3"/>
  <c r="F40" i="3"/>
  <c r="F49" i="3"/>
  <c r="F52" i="3"/>
  <c r="H52" i="3"/>
  <c r="H38" i="3" l="1"/>
  <c r="H39" i="3"/>
  <c r="H49" i="3" l="1"/>
  <c r="H33" i="3"/>
  <c r="H41" i="3" l="1"/>
  <c r="H40" i="3"/>
  <c r="C25" i="3" l="1" a="1"/>
  <c r="C25" i="3" s="1"/>
  <c r="K65" i="3" s="1"/>
  <c r="F41" i="3"/>
  <c r="K63" i="3" l="1"/>
  <c r="K62" i="3"/>
  <c r="F33" i="3"/>
  <c r="C24" i="3"/>
  <c r="G65" i="3" l="1"/>
  <c r="G79" i="3"/>
  <c r="G68" i="3"/>
  <c r="G78" i="3"/>
  <c r="G76" i="3"/>
  <c r="G67" i="3"/>
  <c r="G72" i="3"/>
  <c r="G71" i="3"/>
  <c r="C2" i="3"/>
  <c r="C6" i="3"/>
  <c r="C5" i="3"/>
  <c r="C4" i="3"/>
  <c r="G66" i="3"/>
  <c r="C7" i="3"/>
  <c r="C8" i="3"/>
  <c r="C16" i="3"/>
  <c r="G75" i="3"/>
  <c r="C15" i="3"/>
  <c r="C19" i="3"/>
  <c r="G80" i="3"/>
  <c r="G73" i="3"/>
  <c r="C13" i="3"/>
  <c r="C18" i="3"/>
  <c r="G77" i="3"/>
  <c r="G74" i="3"/>
  <c r="C14" i="3"/>
  <c r="G62" i="3"/>
  <c r="C3" i="3"/>
  <c r="C11" i="3"/>
  <c r="C12" i="3"/>
  <c r="C20" i="3"/>
  <c r="C17" i="3"/>
  <c r="C9" i="3"/>
  <c r="G69" i="3"/>
  <c r="C10" i="3"/>
  <c r="G70" i="3"/>
  <c r="G81" i="3" l="1"/>
  <c r="G82" i="3" s="1"/>
  <c r="E61" i="3" s="1"/>
  <c r="G31" i="3" l="1"/>
  <c r="E66" i="3" s="1"/>
  <c r="G42" i="3" l="1"/>
  <c r="G29" i="3"/>
  <c r="E64" i="3" s="1"/>
  <c r="G28" i="3"/>
  <c r="G51" i="3"/>
  <c r="E79" i="3" s="1"/>
  <c r="G38" i="3"/>
  <c r="G36" i="3"/>
  <c r="G55" i="3"/>
  <c r="G54" i="3"/>
  <c r="G52" i="3"/>
  <c r="G32" i="3"/>
  <c r="G50" i="3"/>
  <c r="E73" i="3" s="1"/>
  <c r="G35" i="3"/>
  <c r="G39" i="3"/>
  <c r="G56" i="3"/>
  <c r="G48" i="3"/>
  <c r="G47" i="3"/>
  <c r="G49" i="3"/>
  <c r="G45" i="3"/>
  <c r="G53" i="3"/>
  <c r="G37" i="3"/>
  <c r="G34" i="3"/>
  <c r="G33" i="3"/>
  <c r="G30" i="3"/>
  <c r="E65" i="3" s="1"/>
  <c r="G41" i="3"/>
  <c r="G58" i="3"/>
  <c r="E78" i="3" s="1"/>
  <c r="G57" i="3"/>
  <c r="G40" i="3"/>
  <c r="G44" i="3"/>
  <c r="G46" i="3"/>
  <c r="G43" i="3"/>
  <c r="E63" i="3" l="1"/>
  <c r="E72" i="3"/>
  <c r="E68" i="3"/>
  <c r="E76" i="3"/>
  <c r="E67" i="3"/>
  <c r="E71" i="3"/>
  <c r="E81" i="3" l="1"/>
  <c r="E82" i="3" s="1"/>
</calcChain>
</file>

<file path=xl/sharedStrings.xml><?xml version="1.0" encoding="utf-8"?>
<sst xmlns="http://schemas.openxmlformats.org/spreadsheetml/2006/main" count="137" uniqueCount="99">
  <si>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</si>
  <si>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</si>
  <si>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</si>
  <si>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</si>
  <si>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</si>
  <si>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</si>
  <si>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</si>
  <si>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</si>
  <si>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</si>
  <si>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</si>
  <si>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</si>
  <si>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</si>
  <si>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</si>
  <si>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</si>
  <si>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</si>
  <si>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</si>
  <si>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</si>
  <si>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</si>
  <si>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</si>
  <si>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</si>
  <si>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</si>
  <si>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</si>
  <si>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</si>
  <si>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</si>
  <si>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</si>
  <si>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</si>
  <si>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</si>
  <si>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</si>
  <si>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</si>
  <si>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</si>
  <si>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</si>
  <si>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</si>
  <si>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</si>
  <si>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</si>
  <si>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</si>
  <si>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</si>
  <si>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</si>
  <si>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</si>
  <si>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Gold</t>
  </si>
  <si>
    <t>Leverage for International Equities</t>
  </si>
  <si>
    <t>TLT</t>
  </si>
  <si>
    <t>Reality</t>
  </si>
  <si>
    <t>Planned</t>
  </si>
  <si>
    <t>LQD</t>
  </si>
  <si>
    <t>GLD</t>
  </si>
  <si>
    <t>S&amp;P</t>
  </si>
  <si>
    <t>Dow Jones</t>
  </si>
  <si>
    <t>Leverage for Semiconductor</t>
  </si>
  <si>
    <t>USHY</t>
  </si>
  <si>
    <t>Int Stocks</t>
  </si>
  <si>
    <t>Semiconductor</t>
  </si>
  <si>
    <t>Regional Bank</t>
  </si>
  <si>
    <t>BRZU</t>
  </si>
  <si>
    <t>EWJ</t>
  </si>
  <si>
    <t>EPOL</t>
  </si>
  <si>
    <t>Short</t>
  </si>
  <si>
    <t>Leverage for Healthcare</t>
  </si>
  <si>
    <t>Healthcare</t>
  </si>
  <si>
    <t>Leverage for Shorts</t>
  </si>
  <si>
    <t>Core</t>
  </si>
  <si>
    <t>Leverage for Cores</t>
  </si>
  <si>
    <t>EWY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</si>
  <si>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</si>
  <si>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</si>
  <si>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</si>
  <si>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</si>
  <si>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</si>
  <si>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</si>
  <si>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</si>
  <si>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</si>
  <si>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SMH</t>
  </si>
  <si>
    <t>XLV</t>
  </si>
  <si>
    <t>Nasdaq</t>
  </si>
  <si>
    <t>Leverage for Nasdaq</t>
  </si>
  <si>
    <t>Countries</t>
  </si>
  <si>
    <t>Percentage</t>
  </si>
  <si>
    <t>US</t>
  </si>
  <si>
    <t>International</t>
  </si>
  <si>
    <t>Commodity</t>
  </si>
  <si>
    <t>COWZ</t>
  </si>
  <si>
    <t>IWM</t>
  </si>
  <si>
    <t>CALF</t>
  </si>
  <si>
    <t>Leverage for Equities</t>
  </si>
  <si>
    <t>Leverage for S&amp;P 500</t>
  </si>
  <si>
    <t>Leverage for Dow Jones</t>
  </si>
  <si>
    <t>Leverage for Regional Bank</t>
  </si>
  <si>
    <t>Leverage for Russell</t>
  </si>
  <si>
    <t>NVDA</t>
  </si>
  <si>
    <t>XLF</t>
  </si>
  <si>
    <t>XLK</t>
  </si>
  <si>
    <t>Financials</t>
  </si>
  <si>
    <t>Techs</t>
  </si>
  <si>
    <t>Leverage for Financials</t>
  </si>
  <si>
    <t>Leverage for Techs</t>
  </si>
  <si>
    <t>Russell</t>
  </si>
  <si>
    <t>XLE</t>
  </si>
  <si>
    <t>Market</t>
  </si>
  <si>
    <t>Energy</t>
  </si>
  <si>
    <t>Incomplete: 30501/37829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</si>
</sst>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/>
    <xf numFmtId="0" fontId="19" fillId="2" borderId="1" xfId="0" applyFont="1" applyFill="1" applyBorder="1"/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wrapText="1"/>
    </xf>
    <xf numFmtId="0" fontId="20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1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8" fillId="2" borderId="1" xfId="1" applyFont="1" applyFill="1" applyBorder="1"/>
    <xf numFmtId="44" fontId="20" fillId="2" borderId="1" xfId="1" applyFont="1" applyFill="1" applyBorder="1"/>
    <xf numFmtId="44" fontId="19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8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2" fillId="2" borderId="1" xfId="0" applyFont="1" applyFill="1" applyBorder="1"/>
    <xf numFmtId="0" fontId="22" fillId="2" borderId="1" xfId="0" applyFont="1" applyFill="1" applyBorder="1" applyAlignment="1">
      <alignment wrapText="1"/>
    </xf>
    <xf numFmtId="0" fontId="23" fillId="2" borderId="1" xfId="0" applyFont="1" applyFill="1" applyBorder="1" applyAlignment="1">
      <alignment wrapText="1"/>
    </xf>
    <xf numFmtId="44" fontId="2" fillId="2" borderId="1" xfId="1" applyFont="1" applyFill="1" applyBorder="1" applyAlignment="1">
      <alignment vertical="center"/>
    </xf>
    <xf numFmtId="9" fontId="2" fillId="2" borderId="1" xfId="5" applyFont="1" applyFill="1" applyBorder="1" applyAlignment="1">
      <alignment horizontal="center" vertical="center"/>
    </xf>
    <xf numFmtId="9" fontId="17" fillId="2" borderId="1" xfId="5" applyFont="1" applyFill="1" applyBorder="1" applyAlignment="1">
      <alignment horizontal="center" vertical="center"/>
    </xf>
    <xf numFmtId="9" fontId="2" fillId="2" borderId="1" xfId="1" applyNumberFormat="1" applyFont="1" applyFill="1" applyBorder="1" applyAlignment="1">
      <alignment horizontal="center" vertical="center"/>
    </xf>
    <xf numFmtId="0" fontId="24" fillId="2" borderId="1" xfId="0" applyFont="1" applyFill="1" applyBorder="1"/>
    <xf numFmtId="0" fontId="25" fillId="2" borderId="1" xfId="0" applyFont="1" applyFill="1" applyBorder="1"/>
    <xf numFmtId="164" fontId="25" fillId="2" borderId="1" xfId="1" applyNumberFormat="1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Pt>
            <c:idx val="17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13EE-47E0-A0ED-765CA99AA17D}"/>
              </c:ext>
            </c:extLst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13EE-47E0-A0ED-765CA99AA17D}"/>
              </c:ext>
            </c:extLst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7-4346-4D9F-ABC1-756B7D0CC2B8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9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0214-47F6-9E80-E65CEFEBFAC7}"/>
                </c:ext>
              </c:extLst>
            </c:dLbl>
            <c:dLbl>
              <c:idx val="11"/>
              <c:layout>
                <c:manualLayout>
                  <c:x val="0.12323640514144339"/>
                  <c:y val="5.064909328546595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3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F3-49B5-BB34-F8B228451F40}"/>
                </c:ext>
              </c:extLst>
            </c:dLbl>
            <c:dLbl>
              <c:idx val="14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4E25-43EB-AE59-B39C502E2861}"/>
                </c:ext>
              </c:extLst>
            </c:dLbl>
            <c:dLbl>
              <c:idx val="15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0F69-4425-8873-1ACFE0D4C5FA}"/>
                </c:ext>
              </c:extLst>
            </c:dLbl>
            <c:dLbl>
              <c:idx val="19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4346-4D9F-ABC1-756B7D0CC2B8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Sheet1!$D$62:$D$81</c:f>
              <c:strCache>
                <c:ptCount val="20"/>
                <c:pt idx="0">
                  <c:v>SingleStocks</c:v>
                </c:pt>
                <c:pt idx="1">
                  <c:v>Healthcare</c:v>
                </c:pt>
                <c:pt idx="2">
                  <c:v>Energy</c:v>
                </c:pt>
                <c:pt idx="3">
                  <c:v>Financials</c:v>
                </c:pt>
                <c:pt idx="4">
                  <c:v>Techs</c:v>
                </c:pt>
                <c:pt idx="5">
                  <c:v>Semiconductor</c:v>
                </c:pt>
                <c:pt idx="6">
                  <c:v>Russell</c:v>
                </c:pt>
                <c:pt idx="7">
                  <c:v>S&amp;P</c:v>
                </c:pt>
                <c:pt idx="8">
                  <c:v>Dow Jones</c:v>
                </c:pt>
                <c:pt idx="9">
                  <c:v>Int Stocks</c:v>
                </c:pt>
                <c:pt idx="10">
                  <c:v>JP Stocks</c:v>
                </c:pt>
                <c:pt idx="11">
                  <c:v>Nasdaq</c:v>
                </c:pt>
                <c:pt idx="12">
                  <c:v>Regional Bank</c:v>
                </c:pt>
                <c:pt idx="13">
                  <c:v>Short</c:v>
                </c:pt>
                <c:pt idx="14">
                  <c:v>Bonds</c:v>
                </c:pt>
                <c:pt idx="15">
                  <c:v>Core</c:v>
                </c:pt>
                <c:pt idx="16">
                  <c:v>Gold</c:v>
                </c:pt>
                <c:pt idx="17">
                  <c:v>Commodities</c:v>
                </c:pt>
                <c:pt idx="18">
                  <c:v>Crypto</c:v>
                </c:pt>
                <c:pt idx="19">
                  <c:v>Cash</c:v>
                </c:pt>
              </c:strCache>
            </c:strRef>
          </c:cat>
          <c:val>
            <c:numRef>
              <c:f>Sheet1!$E$62:$E$81</c:f>
              <c:numCache>
                <c:formatCode>General</c:formatCode>
                <c:ptCount val="20"/>
                <c:pt idx="0">
                  <c:v>0</c:v>
                </c:pt>
                <c:pt idx="1">
                  <c:v>2.8000000000000001E-2</c:v>
                </c:pt>
                <c:pt idx="2">
                  <c:v>2.8000000000000001E-2</c:v>
                </c:pt>
                <c:pt idx="3">
                  <c:v>7.0000000000000007E-2</c:v>
                </c:pt>
                <c:pt idx="4">
                  <c:v>6.9000000000000006E-2</c:v>
                </c:pt>
                <c:pt idx="5">
                  <c:v>0.28899999999999998</c:v>
                </c:pt>
                <c:pt idx="6">
                  <c:v>0.12</c:v>
                </c:pt>
                <c:pt idx="7">
                  <c:v>0</c:v>
                </c:pt>
                <c:pt idx="8">
                  <c:v>0</c:v>
                </c:pt>
                <c:pt idx="9">
                  <c:v>7.9000000000000001E-2</c:v>
                </c:pt>
                <c:pt idx="10">
                  <c:v>7.2999999999999995E-2</c:v>
                </c:pt>
                <c:pt idx="11">
                  <c:v>0.13200000000000001</c:v>
                </c:pt>
                <c:pt idx="12">
                  <c:v>0</c:v>
                </c:pt>
                <c:pt idx="13">
                  <c:v>0</c:v>
                </c:pt>
                <c:pt idx="14">
                  <c:v>7.4999999999999997E-2</c:v>
                </c:pt>
                <c:pt idx="15">
                  <c:v>0</c:v>
                </c:pt>
                <c:pt idx="16">
                  <c:v>3.2000000000000001E-2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1.0000000000001119E-3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986401618635618E-2"/>
          <c:y val="0.67821880509102661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/>
              <a:t>Underlying</a:t>
            </a:r>
            <a:r>
              <a:rPr lang="en-SG" baseline="0"/>
              <a:t> Assets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94-4476-9772-99D8C7D0F94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94-4476-9772-99D8C7D0F94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F94-4476-9772-99D8C7D0F94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63E-4F17-803B-CCDCEDB050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4A4-4B61-9D87-EF82D3C5C0D5}"/>
              </c:ext>
            </c:extLst>
          </c:dPt>
          <c:dLbls>
            <c:dLbl>
              <c:idx val="0"/>
              <c:layout>
                <c:manualLayout>
                  <c:x val="0.11572327044025157"/>
                  <c:y val="-5.777909882803974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F94-4476-9772-99D8C7D0F94F}"/>
                </c:ext>
              </c:extLst>
            </c:dLbl>
            <c:dLbl>
              <c:idx val="1"/>
              <c:layout>
                <c:manualLayout>
                  <c:x val="-0.11069182389937109"/>
                  <c:y val="7.22238735350496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F94-4476-9772-99D8C7D0F94F}"/>
                </c:ext>
              </c:extLst>
            </c:dLbl>
            <c:dLbl>
              <c:idx val="3"/>
              <c:layout>
                <c:manualLayout>
                  <c:x val="-6.0377358490566087E-2"/>
                  <c:y val="-9.62984980467328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3E-4F17-803B-CCDCEDB050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Sheet1!$J$62:$J$66</c:f>
              <c:strCache>
                <c:ptCount val="4"/>
                <c:pt idx="0">
                  <c:v> US </c:v>
                </c:pt>
                <c:pt idx="1">
                  <c:v> International </c:v>
                </c:pt>
                <c:pt idx="3">
                  <c:v> Commodity </c:v>
                </c:pt>
              </c:strCache>
            </c:strRef>
          </c:cat>
          <c:val>
            <c:numRef>
              <c:f>Sheet1!$K$62:$K$66</c:f>
              <c:numCache>
                <c:formatCode>0%</c:formatCode>
                <c:ptCount val="5"/>
                <c:pt idx="0">
                  <c:v>0.72494284668477926</c:v>
                </c:pt>
                <c:pt idx="1">
                  <c:v>0.23918413390207932</c:v>
                </c:pt>
                <c:pt idx="3">
                  <c:v>3.5873019413141402E-2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AE-4254-93EB-8F1C4D05CD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847102</xdr:colOff>
      <xdr:row>1</xdr:row>
      <xdr:rowOff>42910</xdr:rowOff>
    </xdr:from>
    <xdr:to>
      <xdr:col>8</xdr:col>
      <xdr:colOff>2586451</xdr:colOff>
      <xdr:row>4</xdr:row>
      <xdr:rowOff>162856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341" y="208562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24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1230313</xdr:colOff>
      <xdr:row>8</xdr:row>
      <xdr:rowOff>61118</xdr:rowOff>
    </xdr:from>
    <xdr:to>
      <xdr:col>8</xdr:col>
      <xdr:colOff>2405063</xdr:colOff>
      <xdr:row>21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76DE70-E937-65BC-B3DB-91E157260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7:I85" totalsRowShown="0" headerRowDxfId="13" dataDxfId="11" headerRowBorderDxfId="12" tableBorderDxfId="10" totalsRowBorderDxfId="9">
  <autoFilter ref="A27:I85" xr:uid="{00000000-0009-0000-0100-000001000000}"/>
  <sortState xmlns:xlrd2="http://schemas.microsoft.com/office/spreadsheetml/2017/richdata2" ref="A28:I84">
    <sortCondition ref="A27:A84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93"/>
  <sheetViews>
    <sheetView tabSelected="1" topLeftCell="A34" zoomScale="120" zoomScaleNormal="120" workbookViewId="0">
      <selection activeCell="I49" sqref="I49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7.28515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78" customWidth="1"/>
    <col min="11" max="11" width="13.42578125" style="91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7" t="s">
        <v>0</v>
      </c>
      <c r="B1" s="107"/>
      <c r="C1" s="12">
        <v>45383</v>
      </c>
      <c r="E1" s="14"/>
      <c r="F1" s="14"/>
      <c r="G1" s="43"/>
      <c r="H1" s="14"/>
      <c r="J1" s="65"/>
      <c r="K1" s="79"/>
    </row>
    <row r="2" spans="1:12" s="13" customFormat="1" x14ac:dyDescent="0.25">
      <c r="A2" s="107" t="s">
        <v>10</v>
      </c>
      <c r="B2" s="107"/>
      <c r="C2" s="15">
        <f>C25/C24</f>
        <v>4.74417286909756</v>
      </c>
      <c r="D2"/>
      <c r="E2" s="23"/>
      <c r="F2" s="17"/>
      <c r="G2" s="17"/>
      <c r="H2" s="16"/>
      <c r="J2" s="65"/>
      <c r="K2" s="79"/>
    </row>
    <row r="3" spans="1:12" s="13" customFormat="1" x14ac:dyDescent="0.25">
      <c r="A3" s="109" t="s">
        <v>82</v>
      </c>
      <c r="B3" s="110"/>
      <c r="C3" s="15">
        <f>SUM(0)/C24</f>
        <v>0</v>
      </c>
      <c r="D3"/>
      <c r="E3" s="23"/>
      <c r="F3" s="17"/>
      <c r="G3" s="17"/>
      <c r="H3" s="16"/>
      <c r="J3" s="65"/>
      <c r="K3" s="79"/>
    </row>
    <row r="4" spans="1:12" s="13" customFormat="1" x14ac:dyDescent="0.25">
      <c r="A4" s="55" t="s">
        <v>56</v>
      </c>
      <c r="B4" s="56"/>
      <c r="C4" s="15">
        <f>SUM(H28:H28)/C24</f>
        <v>0.13366973538967689</v>
      </c>
      <c r="D4"/>
      <c r="E4" s="23"/>
      <c r="F4" s="17"/>
      <c r="G4" s="17"/>
      <c r="H4" s="16"/>
      <c r="J4" s="65"/>
      <c r="K4" s="79"/>
    </row>
    <row r="5" spans="1:12" s="13" customFormat="1" x14ac:dyDescent="0.25">
      <c r="A5" s="55" t="s">
        <v>92</v>
      </c>
      <c r="B5" s="56"/>
      <c r="C5" s="15">
        <f>SUM(H30:H30)/C24</f>
        <v>0.33279464460885089</v>
      </c>
      <c r="D5"/>
      <c r="E5" s="23"/>
      <c r="F5" s="17"/>
      <c r="G5" s="17"/>
      <c r="H5" s="16"/>
      <c r="J5" s="65"/>
      <c r="K5" s="79"/>
    </row>
    <row r="6" spans="1:12" s="13" customFormat="1" x14ac:dyDescent="0.25">
      <c r="A6" s="55" t="s">
        <v>93</v>
      </c>
      <c r="B6" s="56"/>
      <c r="C6" s="15">
        <f>SUM(H31:H31)/C24</f>
        <v>0.32657766911797997</v>
      </c>
      <c r="D6"/>
      <c r="E6" s="23"/>
      <c r="F6" s="17"/>
      <c r="G6" s="17"/>
      <c r="H6" s="16"/>
      <c r="J6" s="65"/>
      <c r="K6" s="79"/>
    </row>
    <row r="7" spans="1:12" s="13" customFormat="1" x14ac:dyDescent="0.25">
      <c r="A7" s="55" t="s">
        <v>47</v>
      </c>
      <c r="B7" s="56"/>
      <c r="C7" s="15">
        <f>SUM(H32:H34)/C24</f>
        <v>1.3733334544129339</v>
      </c>
      <c r="D7"/>
      <c r="E7" s="23"/>
      <c r="F7" s="17"/>
      <c r="G7" s="17"/>
      <c r="H7" s="16"/>
      <c r="J7" s="65"/>
      <c r="K7" s="79"/>
    </row>
    <row r="8" spans="1:12" s="13" customFormat="1" x14ac:dyDescent="0.25">
      <c r="A8" s="109" t="s">
        <v>86</v>
      </c>
      <c r="B8" s="110"/>
      <c r="C8" s="15">
        <f>SUM(H35:H37)/C24</f>
        <v>0.56857873723640062</v>
      </c>
      <c r="D8"/>
      <c r="E8" s="23"/>
      <c r="F8" s="17"/>
      <c r="G8" s="17"/>
      <c r="H8" s="16"/>
      <c r="J8" s="65"/>
      <c r="K8" s="79"/>
    </row>
    <row r="9" spans="1:12" s="13" customFormat="1" x14ac:dyDescent="0.25">
      <c r="A9" s="55" t="s">
        <v>83</v>
      </c>
      <c r="B9" s="56"/>
      <c r="C9" s="15">
        <f>SUM(0)/C24</f>
        <v>0</v>
      </c>
      <c r="D9"/>
      <c r="E9" s="23"/>
      <c r="F9" s="17"/>
      <c r="G9" s="17"/>
      <c r="H9" s="16"/>
      <c r="J9" s="65"/>
      <c r="K9" s="79"/>
    </row>
    <row r="10" spans="1:12" s="13" customFormat="1" x14ac:dyDescent="0.25">
      <c r="A10" s="55" t="s">
        <v>84</v>
      </c>
      <c r="B10" s="56"/>
      <c r="C10" s="15">
        <f>SUM(0)/C24</f>
        <v>0</v>
      </c>
      <c r="D10"/>
      <c r="E10" s="23"/>
      <c r="F10" s="17"/>
      <c r="G10" s="17"/>
      <c r="H10" s="16"/>
      <c r="J10" s="65"/>
      <c r="K10" s="79"/>
      <c r="L10" s="63"/>
    </row>
    <row r="11" spans="1:12" s="13" customFormat="1" x14ac:dyDescent="0.25">
      <c r="A11" s="109" t="s">
        <v>39</v>
      </c>
      <c r="B11" s="110"/>
      <c r="C11" s="15">
        <f>SUM(H38:H46)/C24</f>
        <v>0.37253329230714316</v>
      </c>
      <c r="D11"/>
      <c r="E11" s="23"/>
      <c r="F11" s="17"/>
      <c r="G11" s="17"/>
      <c r="H11" s="16"/>
      <c r="J11" s="65"/>
      <c r="K11" s="79"/>
      <c r="L11" s="36"/>
    </row>
    <row r="12" spans="1:12" s="13" customFormat="1" x14ac:dyDescent="0.25">
      <c r="A12" s="109" t="s">
        <v>65</v>
      </c>
      <c r="B12" s="110"/>
      <c r="C12" s="15">
        <f>SUM(H47:H49)/C24</f>
        <v>0.34797923536827141</v>
      </c>
      <c r="D12"/>
      <c r="E12" s="23"/>
      <c r="F12" s="17"/>
      <c r="G12" s="17"/>
      <c r="H12" s="16"/>
      <c r="J12" s="65"/>
      <c r="K12" s="79"/>
    </row>
    <row r="13" spans="1:12" s="13" customFormat="1" x14ac:dyDescent="0.25">
      <c r="A13" s="109" t="s">
        <v>73</v>
      </c>
      <c r="B13" s="110"/>
      <c r="C13" s="15">
        <f>SUM(H50)/C24</f>
        <v>0.62666415152189936</v>
      </c>
      <c r="D13"/>
      <c r="E13" s="23"/>
      <c r="F13" s="17"/>
      <c r="G13" s="17"/>
      <c r="H13" s="16"/>
      <c r="J13" s="65"/>
      <c r="K13" s="79"/>
    </row>
    <row r="14" spans="1:12" s="13" customFormat="1" x14ac:dyDescent="0.25">
      <c r="A14" s="55" t="s">
        <v>85</v>
      </c>
      <c r="B14" s="56"/>
      <c r="C14" s="15">
        <f>SUM(0)/C24</f>
        <v>0</v>
      </c>
      <c r="D14"/>
      <c r="E14" s="23"/>
      <c r="F14" s="17"/>
      <c r="G14" s="17"/>
      <c r="H14" s="16"/>
      <c r="J14" s="65"/>
      <c r="K14" s="79"/>
    </row>
    <row r="15" spans="1:12" s="13" customFormat="1" x14ac:dyDescent="0.25">
      <c r="A15" s="55" t="s">
        <v>58</v>
      </c>
      <c r="B15" s="56"/>
      <c r="C15" s="15">
        <f>SUM(0)/C24</f>
        <v>0</v>
      </c>
      <c r="D15"/>
      <c r="E15" s="23"/>
      <c r="F15" s="17"/>
      <c r="G15" s="17"/>
      <c r="H15" s="16"/>
      <c r="J15" s="65"/>
      <c r="K15" s="79"/>
    </row>
    <row r="16" spans="1:12" s="13" customFormat="1" x14ac:dyDescent="0.25">
      <c r="A16" s="109" t="s">
        <v>26</v>
      </c>
      <c r="B16" s="110"/>
      <c r="C16" s="15">
        <f>SUM(0)/C24</f>
        <v>0</v>
      </c>
      <c r="D16"/>
      <c r="E16" s="23"/>
      <c r="F16" s="17"/>
      <c r="G16" s="17"/>
      <c r="H16" s="16"/>
      <c r="J16" s="65"/>
      <c r="K16" s="79"/>
    </row>
    <row r="17" spans="1:17" s="13" customFormat="1" x14ac:dyDescent="0.25">
      <c r="A17" s="109" t="s">
        <v>25</v>
      </c>
      <c r="B17" s="110"/>
      <c r="C17" s="15">
        <f>SUM(H52:H57)/C24</f>
        <v>0.35710775560846869</v>
      </c>
      <c r="D17"/>
      <c r="E17" s="23"/>
      <c r="F17" s="17"/>
      <c r="G17" s="17"/>
      <c r="H17" s="16"/>
      <c r="J17" s="65"/>
      <c r="K17" s="79"/>
    </row>
    <row r="18" spans="1:17" s="13" customFormat="1" x14ac:dyDescent="0.25">
      <c r="A18" s="55" t="s">
        <v>60</v>
      </c>
      <c r="B18" s="56"/>
      <c r="C18" s="15">
        <f>SUM(0)/C24</f>
        <v>0</v>
      </c>
      <c r="D18"/>
      <c r="E18" s="23"/>
      <c r="F18" s="17"/>
      <c r="G18" s="17"/>
      <c r="H18" s="16"/>
      <c r="J18" s="65"/>
      <c r="K18" s="79"/>
    </row>
    <row r="19" spans="1:17" s="13" customFormat="1" ht="27.75" customHeight="1" x14ac:dyDescent="0.25">
      <c r="A19" s="108" t="s">
        <v>37</v>
      </c>
      <c r="B19" s="108"/>
      <c r="C19" s="15">
        <f>SUM(0)/C24</f>
        <v>0</v>
      </c>
      <c r="D19" s="22"/>
      <c r="E19" s="16"/>
      <c r="F19" s="17"/>
      <c r="G19" s="17"/>
      <c r="H19" s="16"/>
      <c r="J19" s="65"/>
      <c r="K19" s="79"/>
    </row>
    <row r="20" spans="1:17" s="13" customFormat="1" x14ac:dyDescent="0.25">
      <c r="A20" s="109" t="s">
        <v>38</v>
      </c>
      <c r="B20" s="110"/>
      <c r="C20" s="15">
        <f>SUM(H58)/C24</f>
        <v>0.15263482454122188</v>
      </c>
      <c r="D20"/>
      <c r="E20" s="23"/>
      <c r="F20" s="17"/>
      <c r="G20" s="17"/>
      <c r="H20" s="16"/>
      <c r="J20" s="65"/>
      <c r="K20" s="79"/>
    </row>
    <row r="21" spans="1:17" s="13" customFormat="1" ht="12.75" x14ac:dyDescent="0.25">
      <c r="A21" s="107" t="s">
        <v>8</v>
      </c>
      <c r="B21" s="107"/>
      <c r="C21" s="18">
        <v>51949296</v>
      </c>
      <c r="D21" s="24"/>
      <c r="E21" s="17"/>
      <c r="F21" s="17"/>
      <c r="G21" s="17"/>
      <c r="H21" s="16"/>
      <c r="J21" s="65"/>
      <c r="K21" s="79"/>
    </row>
    <row r="22" spans="1:17" s="13" customFormat="1" ht="12.75" x14ac:dyDescent="0.25">
      <c r="A22" s="107" t="s">
        <v>6</v>
      </c>
      <c r="B22" s="107"/>
      <c r="C22" s="18">
        <v>0</v>
      </c>
      <c r="F22" s="17"/>
      <c r="H22" s="36"/>
      <c r="J22" s="65"/>
      <c r="K22" s="79"/>
    </row>
    <row r="23" spans="1:17" s="13" customFormat="1" ht="12.75" x14ac:dyDescent="0.25">
      <c r="A23" s="107" t="s">
        <v>7</v>
      </c>
      <c r="B23" s="107"/>
      <c r="C23" s="18">
        <v>0</v>
      </c>
      <c r="D23" s="21"/>
      <c r="E23" s="17"/>
      <c r="F23" s="17"/>
      <c r="G23" s="17"/>
      <c r="H23" s="16"/>
      <c r="J23" s="65"/>
      <c r="K23" s="79"/>
    </row>
    <row r="24" spans="1:17" s="13" customFormat="1" ht="12.75" x14ac:dyDescent="0.25">
      <c r="A24" s="107" t="s">
        <v>9</v>
      </c>
      <c r="B24" s="107"/>
      <c r="C24" s="18">
        <f>C21+C22-C23</f>
        <v>51949296</v>
      </c>
      <c r="D24" s="21"/>
      <c r="E24" s="17"/>
      <c r="F24" s="17"/>
      <c r="G24" s="17"/>
      <c r="H24" s="16"/>
      <c r="J24" s="65"/>
      <c r="K24" s="79"/>
    </row>
    <row r="25" spans="1:17" s="13" customFormat="1" ht="27.75" customHeight="1" x14ac:dyDescent="0.25">
      <c r="A25" s="108" t="s">
        <v>5</v>
      </c>
      <c r="B25" s="108"/>
      <c r="C25" s="11">
        <f t="array" ref="C25">SUM(ABS(Table132[Target allocation ($)]))</f>
        <v>246456440.65191838</v>
      </c>
      <c r="D25" s="21" t="s">
        <v>22</v>
      </c>
      <c r="E25" s="17"/>
      <c r="F25" s="17"/>
      <c r="G25" s="17"/>
      <c r="H25" s="16"/>
      <c r="J25" s="65"/>
      <c r="K25" s="79"/>
    </row>
    <row r="26" spans="1:17" s="8" customFormat="1" ht="2.25" customHeight="1" x14ac:dyDescent="0.2">
      <c r="A26" s="6"/>
      <c r="B26" s="6"/>
      <c r="C26" s="4"/>
      <c r="D26" s="1"/>
      <c r="E26" s="1"/>
      <c r="F26" s="1"/>
      <c r="G26" s="1"/>
      <c r="H26" s="37"/>
      <c r="I26" s="1"/>
      <c r="J26" s="66"/>
      <c r="K26" s="79"/>
    </row>
    <row r="27" spans="1:17" s="2" customFormat="1" ht="12.75" x14ac:dyDescent="0.25">
      <c r="A27" s="7" t="s">
        <v>12</v>
      </c>
      <c r="B27" s="7" t="s">
        <v>13</v>
      </c>
      <c r="C27" s="7" t="s">
        <v>15</v>
      </c>
      <c r="D27" s="7" t="s">
        <v>16</v>
      </c>
      <c r="E27" s="7" t="s">
        <v>17</v>
      </c>
      <c r="F27" s="9" t="s">
        <v>4</v>
      </c>
      <c r="G27" s="7" t="s">
        <v>18</v>
      </c>
      <c r="H27" s="38" t="s">
        <v>19</v>
      </c>
      <c r="I27" s="10" t="s">
        <v>1</v>
      </c>
      <c r="J27" s="92" t="s">
        <v>68</v>
      </c>
      <c r="K27" s="92" t="s">
        <v>69</v>
      </c>
    </row>
    <row r="28" spans="1:17" x14ac:dyDescent="0.25">
      <c r="A28" s="44" t="s">
        <v>71</v>
      </c>
      <c r="B28" s="34" t="s">
        <v>14</v>
      </c>
      <c r="C28" s="93">
        <v>147.72999999999999</v>
      </c>
      <c r="D28" s="34">
        <v>47005</v>
      </c>
      <c r="E28" s="34">
        <v>47005</v>
      </c>
      <c r="F28" s="33">
        <f>Table132[[#This Row],[New position]]-Table132[[#This Row],[Old position]]</f>
        <v>0</v>
      </c>
      <c r="G28" s="34">
        <f>ROUND(Table132[[#This Row],[Target allocation ($)]]/(IF(G82&gt;0, G61,E61)*C24)*100,3)</f>
        <v>2.8180000000000001</v>
      </c>
      <c r="H28" s="39">
        <f>Table132[[#This Row],[New position]]*Table132[[#This Row],[Last_Price]]</f>
        <v>6944048.6499999994</v>
      </c>
      <c r="I28" s="97"/>
      <c r="J28" s="94"/>
      <c r="K28" s="94"/>
      <c r="L28"/>
      <c r="M28"/>
      <c r="N28"/>
      <c r="O28"/>
      <c r="P28"/>
      <c r="Q28"/>
    </row>
    <row r="29" spans="1:17" x14ac:dyDescent="0.25">
      <c r="A29" s="44" t="s">
        <v>95</v>
      </c>
      <c r="B29" s="34" t="s">
        <v>14</v>
      </c>
      <c r="C29" s="93">
        <v>95</v>
      </c>
      <c r="D29" s="34">
        <v>0</v>
      </c>
      <c r="E29" s="34">
        <v>73684</v>
      </c>
      <c r="F29" s="33">
        <f>Table132[[#This Row],[New position]]-Table132[[#This Row],[Old position]]</f>
        <v>73684</v>
      </c>
      <c r="G29" s="34">
        <f>ROUND(Table132[[#This Row],[Target allocation ($)]]/(IF(G82&gt;0, G61,E61)*C24)*100,3)</f>
        <v>2.84</v>
      </c>
      <c r="H29" s="39">
        <f>Table132[[#This Row],[New position]]*Table132[[#This Row],[Last_Price]]</f>
        <v>6999980</v>
      </c>
      <c r="I29" s="97"/>
      <c r="J29" s="94" t="s">
        <v>96</v>
      </c>
      <c r="K29" s="94">
        <v>94.95</v>
      </c>
      <c r="L29"/>
      <c r="M29"/>
      <c r="N29"/>
      <c r="O29"/>
      <c r="P29"/>
      <c r="Q29"/>
    </row>
    <row r="30" spans="1:17" x14ac:dyDescent="0.25">
      <c r="A30" s="44" t="s">
        <v>88</v>
      </c>
      <c r="B30" s="44" t="s">
        <v>14</v>
      </c>
      <c r="C30" s="93">
        <v>42.5</v>
      </c>
      <c r="D30" s="34">
        <v>289140</v>
      </c>
      <c r="E30" s="34">
        <v>406787</v>
      </c>
      <c r="F30" s="33">
        <f>Table132[[#This Row],[New position]]-Table132[[#This Row],[Old position]]</f>
        <v>117647</v>
      </c>
      <c r="G30" s="34">
        <f>ROUND(Table132[[#This Row],[Target allocation ($)]]/(IF(G82&gt;0, G61,E61)*C24)*100,3)</f>
        <v>7.0149999999999997</v>
      </c>
      <c r="H30" s="39">
        <f>Table132[[#This Row],[New position]]*Table132[[#This Row],[Last_Price]]</f>
        <v>17288447.5</v>
      </c>
      <c r="I30" s="105"/>
      <c r="J30" s="94" t="s">
        <v>96</v>
      </c>
      <c r="K30" s="94">
        <v>41.9</v>
      </c>
      <c r="L30"/>
      <c r="M30"/>
      <c r="N30"/>
      <c r="O30"/>
      <c r="P30"/>
      <c r="Q30"/>
    </row>
    <row r="31" spans="1:17" x14ac:dyDescent="0.25">
      <c r="A31" s="34" t="s">
        <v>89</v>
      </c>
      <c r="B31" s="34" t="s">
        <v>14</v>
      </c>
      <c r="C31" s="93">
        <v>210</v>
      </c>
      <c r="D31" s="34">
        <v>56979</v>
      </c>
      <c r="E31" s="34">
        <v>80788</v>
      </c>
      <c r="F31" s="33">
        <f>Table132[[#This Row],[New position]]-Table132[[#This Row],[Old position]]</f>
        <v>23809</v>
      </c>
      <c r="G31" s="34">
        <f>ROUND(Table132[[#This Row],[Target allocation ($)]]/(IF(G82&gt;0, G61,E61)*C24)*100,3)</f>
        <v>6.8840000000000003</v>
      </c>
      <c r="H31" s="39">
        <f>Table132[[#This Row],[New position]]*Table132[[#This Row],[Last_Price]]</f>
        <v>16965480</v>
      </c>
      <c r="I31" s="105"/>
      <c r="J31" s="94" t="s">
        <v>96</v>
      </c>
      <c r="K31" s="94">
        <v>208.86</v>
      </c>
      <c r="L31"/>
      <c r="M31"/>
      <c r="N31"/>
      <c r="O31"/>
      <c r="P31"/>
      <c r="Q31"/>
    </row>
    <row r="32" spans="1:17" x14ac:dyDescent="0.25">
      <c r="A32" s="44" t="s">
        <v>70</v>
      </c>
      <c r="B32" s="44" t="s">
        <v>14</v>
      </c>
      <c r="C32" s="93">
        <v>228</v>
      </c>
      <c r="D32" s="34">
        <v>159589</v>
      </c>
      <c r="E32" s="34">
        <v>181518</v>
      </c>
      <c r="F32" s="33">
        <f>Table132[[#This Row],[New position]]-Table132[[#This Row],[Old position]]</f>
        <v>21929</v>
      </c>
      <c r="G32" s="34">
        <f>ROUND(Table132[[#This Row],[Target allocation ($)]]/(IF(G82&gt;0, G61,E61)*C24)*100,3)</f>
        <v>16.792000000000002</v>
      </c>
      <c r="H32" s="39">
        <f>Table132[[#This Row],[New position]]*Table132[[#This Row],[Last_Price]]</f>
        <v>41386104</v>
      </c>
      <c r="I32" s="27"/>
      <c r="J32" s="94" t="s">
        <v>96</v>
      </c>
      <c r="K32" s="94">
        <v>228.27</v>
      </c>
      <c r="L32"/>
      <c r="M32"/>
      <c r="N32"/>
      <c r="O32"/>
      <c r="P32"/>
      <c r="Q32"/>
    </row>
    <row r="33" spans="1:17" x14ac:dyDescent="0.25">
      <c r="A33" s="34" t="s">
        <v>61</v>
      </c>
      <c r="B33" s="34" t="s">
        <v>14</v>
      </c>
      <c r="C33" s="93">
        <v>67.11</v>
      </c>
      <c r="D33" s="34">
        <v>320643</v>
      </c>
      <c r="E33" s="34">
        <v>320643</v>
      </c>
      <c r="F33" s="33">
        <f>Table132[[#This Row],[New position]]-Table132[[#This Row],[Old position]]</f>
        <v>0</v>
      </c>
      <c r="G33" s="34">
        <f>ROUND(Table132[[#This Row],[Target allocation ($)]]/(IF(G82&gt;0, G61,E61)*C24)*100,3)</f>
        <v>8.7309999999999999</v>
      </c>
      <c r="H33" s="39">
        <f>Table132[[#This Row],[New position]]*Table132[[#This Row],[Last_Price]]</f>
        <v>21518351.73</v>
      </c>
      <c r="I33" s="27"/>
      <c r="J33" s="94"/>
      <c r="K33" s="94"/>
      <c r="L33"/>
      <c r="M33"/>
      <c r="N33"/>
      <c r="O33"/>
      <c r="P33"/>
      <c r="Q33"/>
    </row>
    <row r="34" spans="1:17" x14ac:dyDescent="0.25">
      <c r="A34" s="44" t="s">
        <v>87</v>
      </c>
      <c r="B34" s="44" t="s">
        <v>14</v>
      </c>
      <c r="C34" s="93">
        <v>903.56</v>
      </c>
      <c r="D34" s="34">
        <v>9340</v>
      </c>
      <c r="E34" s="34">
        <v>9340</v>
      </c>
      <c r="F34" s="33">
        <f>Table132[[#This Row],[New position]]-Table132[[#This Row],[Old position]]</f>
        <v>0</v>
      </c>
      <c r="G34" s="34">
        <f>ROUND(Table132[[#This Row],[Target allocation ($)]]/(IF(G82&gt;0, G61,E61)*C24)*100,3)</f>
        <v>3.4239999999999999</v>
      </c>
      <c r="H34" s="39">
        <f>Table132[[#This Row],[New position]]*Table132[[#This Row],[Last_Price]]</f>
        <v>8439250.4000000004</v>
      </c>
      <c r="I34" s="104"/>
      <c r="J34" s="94"/>
      <c r="K34" s="94"/>
      <c r="L34"/>
      <c r="M34"/>
      <c r="N34"/>
      <c r="O34"/>
      <c r="P34"/>
      <c r="Q34"/>
    </row>
    <row r="35" spans="1:17" x14ac:dyDescent="0.25">
      <c r="A35" s="44" t="s">
        <v>79</v>
      </c>
      <c r="B35" s="34" t="s">
        <v>14</v>
      </c>
      <c r="C35" s="93">
        <v>58.48</v>
      </c>
      <c r="D35" s="34">
        <v>181639</v>
      </c>
      <c r="E35" s="34">
        <v>267138</v>
      </c>
      <c r="F35" s="33">
        <f>Table132[[#This Row],[New position]]-Table132[[#This Row],[Old position]]</f>
        <v>85499</v>
      </c>
      <c r="G35" s="34">
        <f>ROUND(Table132[[#This Row],[Target allocation ($)]]/(IF(G82&gt;0, G61,E61)*C24)*100,3)</f>
        <v>6.3390000000000004</v>
      </c>
      <c r="H35" s="39">
        <f>Table132[[#This Row],[New position]]*Table132[[#This Row],[Last_Price]]</f>
        <v>15622230.239999998</v>
      </c>
      <c r="I35" s="104"/>
      <c r="J35" s="94" t="s">
        <v>96</v>
      </c>
      <c r="K35" s="94">
        <v>58.11</v>
      </c>
      <c r="L35"/>
      <c r="M35"/>
      <c r="N35"/>
      <c r="O35"/>
      <c r="P35"/>
      <c r="Q35"/>
    </row>
    <row r="36" spans="1:17" x14ac:dyDescent="0.25">
      <c r="A36" s="44" t="s">
        <v>80</v>
      </c>
      <c r="B36" s="44" t="s">
        <v>14</v>
      </c>
      <c r="C36" s="93">
        <v>212</v>
      </c>
      <c r="D36" s="34">
        <v>34640</v>
      </c>
      <c r="E36" s="34">
        <v>58224</v>
      </c>
      <c r="F36" s="33">
        <f>Table132[[#This Row],[New position]]-Table132[[#This Row],[Old position]]</f>
        <v>23584</v>
      </c>
      <c r="G36" s="34">
        <f>ROUND(Table132[[#This Row],[Target allocation ($)]]/(IF(G82&gt;0, G61,E61)*C24)*100,3)</f>
        <v>5.008</v>
      </c>
      <c r="H36" s="39">
        <f>Table132[[#This Row],[New position]]*Table132[[#This Row],[Last_Price]]</f>
        <v>12343488</v>
      </c>
      <c r="I36" s="104"/>
      <c r="J36" s="94" t="s">
        <v>96</v>
      </c>
      <c r="K36" s="94">
        <v>208.66</v>
      </c>
      <c r="L36"/>
      <c r="M36"/>
      <c r="N36"/>
      <c r="O36"/>
      <c r="P36"/>
      <c r="Q36"/>
    </row>
    <row r="37" spans="1:17" x14ac:dyDescent="0.25">
      <c r="A37" s="44" t="s">
        <v>81</v>
      </c>
      <c r="B37" s="34" t="s">
        <v>14</v>
      </c>
      <c r="C37" s="46">
        <v>49.16</v>
      </c>
      <c r="D37" s="34">
        <v>31968</v>
      </c>
      <c r="E37" s="34">
        <v>31968</v>
      </c>
      <c r="F37" s="33">
        <f>Table132[[#This Row],[New position]]-Table132[[#This Row],[Old position]]</f>
        <v>0</v>
      </c>
      <c r="G37" s="34">
        <f>ROUND(Table132[[#This Row],[Target allocation ($)]]/(IF(G82&gt;0, G61,E61)*C24)*100,3)</f>
        <v>0.63800000000000001</v>
      </c>
      <c r="H37" s="39">
        <f>Table132[[#This Row],[New position]]*Table132[[#This Row],[Last_Price]]</f>
        <v>1571546.88</v>
      </c>
      <c r="I37" s="104"/>
      <c r="J37" s="94"/>
      <c r="K37" s="94"/>
      <c r="L37"/>
      <c r="M37"/>
      <c r="N37"/>
      <c r="O37"/>
      <c r="P37"/>
      <c r="Q37"/>
    </row>
    <row r="38" spans="1:17" x14ac:dyDescent="0.25">
      <c r="A38" s="34">
        <v>600519</v>
      </c>
      <c r="B38" s="34" t="s">
        <v>14</v>
      </c>
      <c r="C38" s="46">
        <v>238.40642458100601</v>
      </c>
      <c r="D38" s="34">
        <v>900</v>
      </c>
      <c r="E38" s="34">
        <v>900</v>
      </c>
      <c r="F38" s="33">
        <f>Table132[[#This Row],[New position]]-Table132[[#This Row],[Old position]]</f>
        <v>0</v>
      </c>
      <c r="G38" s="34">
        <f>ROUND(Table132[[#This Row],[Target allocation ($)]]/(IF(G82&gt;0, G61,E61)*C24)*100,3)</f>
        <v>8.6999999999999994E-2</v>
      </c>
      <c r="H38" s="39">
        <f>Table132[[#This Row],[New position]]*Table132[[#This Row],[Last_Price]]</f>
        <v>214565.7821229054</v>
      </c>
      <c r="I38" s="51"/>
      <c r="J38" s="94"/>
      <c r="K38" s="94"/>
      <c r="L38"/>
      <c r="M38"/>
      <c r="N38"/>
      <c r="O38"/>
      <c r="P38"/>
      <c r="Q38"/>
    </row>
    <row r="39" spans="1:17" x14ac:dyDescent="0.25">
      <c r="A39" s="34">
        <v>700</v>
      </c>
      <c r="B39" s="34" t="s">
        <v>14</v>
      </c>
      <c r="C39" s="46">
        <v>38.976982097186699</v>
      </c>
      <c r="D39" s="34">
        <v>15300</v>
      </c>
      <c r="E39" s="34">
        <v>15300</v>
      </c>
      <c r="F39" s="33">
        <f>Table132[[#This Row],[New position]]-Table132[[#This Row],[Old position]]</f>
        <v>0</v>
      </c>
      <c r="G39" s="34">
        <f>ROUND(Table132[[#This Row],[Target allocation ($)]]/(IF(G82&gt;0, G61,E61)*C24)*100,3)</f>
        <v>0.24199999999999999</v>
      </c>
      <c r="H39" s="39">
        <f>Table132[[#This Row],[New position]]*Table132[[#This Row],[Last_Price]]</f>
        <v>596347.82608695654</v>
      </c>
      <c r="I39" s="51"/>
      <c r="J39" s="94"/>
      <c r="K39" s="94"/>
      <c r="L39"/>
      <c r="M39"/>
      <c r="N39"/>
      <c r="O39"/>
      <c r="P39"/>
      <c r="Q39"/>
    </row>
    <row r="40" spans="1:17" x14ac:dyDescent="0.25">
      <c r="A40" s="34">
        <v>9988</v>
      </c>
      <c r="B40" s="34" t="s">
        <v>14</v>
      </c>
      <c r="C40" s="46">
        <v>8.9897698209718708</v>
      </c>
      <c r="D40" s="34">
        <v>22000</v>
      </c>
      <c r="E40" s="34">
        <v>22000</v>
      </c>
      <c r="F40" s="33">
        <f>Table132[[#This Row],[New position]]-Table132[[#This Row],[Old position]]</f>
        <v>0</v>
      </c>
      <c r="G40" s="34">
        <f>ROUND(Table132[[#This Row],[Target allocation ($)]]/(IF(G82&gt;0, G61,E61)*C24)*100,3)</f>
        <v>0.08</v>
      </c>
      <c r="H40" s="39">
        <f>Table132[[#This Row],[New position]]*Table132[[#This Row],[Last_Price]]</f>
        <v>197774.93606138116</v>
      </c>
      <c r="I40" s="27"/>
      <c r="J40" s="94"/>
      <c r="K40" s="94"/>
      <c r="L40"/>
      <c r="M40"/>
      <c r="N40"/>
      <c r="O40"/>
      <c r="P40"/>
      <c r="Q40"/>
    </row>
    <row r="41" spans="1:17" x14ac:dyDescent="0.25">
      <c r="A41" s="44">
        <v>9888</v>
      </c>
      <c r="B41" s="34" t="s">
        <v>14</v>
      </c>
      <c r="C41" s="93">
        <v>13.132992327365701</v>
      </c>
      <c r="D41" s="34">
        <v>15600</v>
      </c>
      <c r="E41" s="34">
        <v>15600</v>
      </c>
      <c r="F41" s="33">
        <f>Table132[[#This Row],[New position]]-Table132[[#This Row],[Old position]]</f>
        <v>0</v>
      </c>
      <c r="G41" s="34">
        <f>ROUND(Table132[[#This Row],[Target allocation ($)]]/(IF(G82&gt;0, G61,E61)*C24)*100,3)</f>
        <v>8.3000000000000004E-2</v>
      </c>
      <c r="H41" s="39">
        <f>Table132[[#This Row],[New position]]*Table132[[#This Row],[Last_Price]]</f>
        <v>204874.68030690492</v>
      </c>
      <c r="I41" s="27"/>
      <c r="J41" s="94"/>
      <c r="K41" s="94"/>
      <c r="L41"/>
      <c r="M41"/>
      <c r="N41"/>
      <c r="O41"/>
      <c r="P41"/>
      <c r="Q41"/>
    </row>
    <row r="42" spans="1:17" x14ac:dyDescent="0.25">
      <c r="A42" s="44">
        <v>857</v>
      </c>
      <c r="B42" s="44" t="s">
        <v>14</v>
      </c>
      <c r="C42" s="93">
        <v>0.85677749360613797</v>
      </c>
      <c r="D42" s="34">
        <v>1684000</v>
      </c>
      <c r="E42" s="34">
        <v>1684000</v>
      </c>
      <c r="F42" s="33">
        <f>Table132[[#This Row],[New position]]-Table132[[#This Row],[Old position]]</f>
        <v>0</v>
      </c>
      <c r="G42" s="34">
        <f>ROUND(Table132[[#This Row],[Target allocation ($)]]/(IF(G82&gt;0, G61,E61)*C24)*100,3)</f>
        <v>0.58499999999999996</v>
      </c>
      <c r="H42" s="39">
        <f>Table132[[#This Row],[New position]]*Table132[[#This Row],[Last_Price]]</f>
        <v>1442813.2992327365</v>
      </c>
      <c r="I42" s="58"/>
      <c r="J42" s="94"/>
      <c r="K42" s="95"/>
      <c r="L42"/>
      <c r="M42"/>
      <c r="N42"/>
      <c r="O42"/>
      <c r="P42"/>
      <c r="Q42"/>
    </row>
    <row r="43" spans="1:17" x14ac:dyDescent="0.25">
      <c r="A43" s="34">
        <v>883</v>
      </c>
      <c r="B43" s="34" t="s">
        <v>14</v>
      </c>
      <c r="C43" s="93">
        <v>2.3222506393861901</v>
      </c>
      <c r="D43" s="34">
        <v>2562000</v>
      </c>
      <c r="E43" s="34">
        <v>2562000</v>
      </c>
      <c r="F43" s="33">
        <f>Table132[[#This Row],[New position]]-Table132[[#This Row],[Old position]]</f>
        <v>0</v>
      </c>
      <c r="G43" s="34">
        <f>ROUND(Table132[[#This Row],[Target allocation ($)]]/(IF(G82&gt;0, G61,E61)*C24)*100,3)</f>
        <v>2.4140000000000001</v>
      </c>
      <c r="H43" s="39">
        <f>Table132[[#This Row],[New position]]*Table132[[#This Row],[Last_Price]]</f>
        <v>5949606.138107419</v>
      </c>
      <c r="I43" s="58"/>
      <c r="J43" s="94"/>
      <c r="K43" s="94"/>
      <c r="L43"/>
      <c r="N43"/>
      <c r="O43"/>
      <c r="P43"/>
      <c r="Q43"/>
    </row>
    <row r="44" spans="1:17" x14ac:dyDescent="0.25">
      <c r="A44" s="34" t="s">
        <v>67</v>
      </c>
      <c r="B44" s="34" t="s">
        <v>14</v>
      </c>
      <c r="C44" s="93">
        <v>43.56</v>
      </c>
      <c r="D44" s="34">
        <v>239592</v>
      </c>
      <c r="E44" s="34">
        <v>239592</v>
      </c>
      <c r="F44" s="33">
        <f>Table132[[#This Row],[New position]]-Table132[[#This Row],[Old position]]</f>
        <v>0</v>
      </c>
      <c r="G44" s="34">
        <f>ROUND(Table132[[#This Row],[Target allocation ($)]]/(IF(G82&gt;0, G61,E61)*C24)*100,3)</f>
        <v>4.2350000000000003</v>
      </c>
      <c r="H44" s="39">
        <f>Table132[[#This Row],[New position]]*Table132[[#This Row],[Last_Price]]</f>
        <v>10436627.520000001</v>
      </c>
      <c r="I44" s="64"/>
      <c r="J44" s="94"/>
      <c r="K44" s="96"/>
      <c r="L44"/>
      <c r="M44"/>
      <c r="N44"/>
      <c r="O44"/>
      <c r="P44"/>
      <c r="Q44"/>
    </row>
    <row r="45" spans="1:17" x14ac:dyDescent="0.25">
      <c r="A45" s="34" t="s">
        <v>52</v>
      </c>
      <c r="B45" s="34" t="s">
        <v>14</v>
      </c>
      <c r="C45" s="46">
        <v>86.18</v>
      </c>
      <c r="D45" s="34">
        <v>1650</v>
      </c>
      <c r="E45" s="34">
        <v>0</v>
      </c>
      <c r="F45" s="33">
        <f>Table132[[#This Row],[New position]]-Table132[[#This Row],[Old position]]</f>
        <v>-1650</v>
      </c>
      <c r="G45" s="34">
        <f>ROUND(Table132[[#This Row],[Target allocation ($)]]/(IF(G82&gt;0, G61,E61)*C24)*100,3)</f>
        <v>0</v>
      </c>
      <c r="H45" s="39">
        <f>Table132[[#This Row],[New position]]*Table132[[#This Row],[Last_Price]]</f>
        <v>0</v>
      </c>
      <c r="I45" s="58"/>
      <c r="J45" s="94" t="s">
        <v>96</v>
      </c>
      <c r="K45" s="94">
        <v>83.49</v>
      </c>
      <c r="L45"/>
      <c r="M45"/>
      <c r="N45"/>
      <c r="O45"/>
      <c r="P45"/>
      <c r="Q45"/>
    </row>
    <row r="46" spans="1:17" x14ac:dyDescent="0.25">
      <c r="A46" s="34" t="s">
        <v>54</v>
      </c>
      <c r="B46" s="34" t="s">
        <v>14</v>
      </c>
      <c r="C46" s="46">
        <v>23.59</v>
      </c>
      <c r="D46" s="34">
        <v>13151</v>
      </c>
      <c r="E46" s="34">
        <v>13151</v>
      </c>
      <c r="F46" s="33">
        <f>Table132[[#This Row],[New position]]-Table132[[#This Row],[Old position]]</f>
        <v>0</v>
      </c>
      <c r="G46" s="34">
        <f>ROUND(Table132[[#This Row],[Target allocation ($)]]/(IF(G82&gt;0, G61,E61)*C24)*100,3)</f>
        <v>0.126</v>
      </c>
      <c r="H46" s="39">
        <f>Table132[[#This Row],[New position]]*Table132[[#This Row],[Last_Price]]</f>
        <v>310232.09000000003</v>
      </c>
      <c r="I46" s="58"/>
      <c r="J46" s="96"/>
      <c r="K46" s="96"/>
      <c r="L46"/>
      <c r="M46"/>
      <c r="N46"/>
      <c r="O46"/>
      <c r="P46"/>
      <c r="Q46"/>
    </row>
    <row r="47" spans="1:17" x14ac:dyDescent="0.25">
      <c r="A47" s="44" t="s">
        <v>53</v>
      </c>
      <c r="B47" s="44" t="s">
        <v>14</v>
      </c>
      <c r="C47" s="46">
        <v>71.349999999999994</v>
      </c>
      <c r="D47" s="34">
        <v>21678</v>
      </c>
      <c r="E47" s="34">
        <v>21678</v>
      </c>
      <c r="F47" s="33">
        <f>Table132[[#This Row],[New position]]-Table132[[#This Row],[Old position]]</f>
        <v>0</v>
      </c>
      <c r="G47" s="34">
        <f>ROUND(Table132[[#This Row],[Target allocation ($)]]/(IF(G82&gt;0, G61,E61)*C24)*100,3)</f>
        <v>0.628</v>
      </c>
      <c r="H47" s="39">
        <f>Table132[[#This Row],[New position]]*Table132[[#This Row],[Last_Price]]</f>
        <v>1546725.2999999998</v>
      </c>
      <c r="I47" s="60"/>
      <c r="J47" s="96"/>
      <c r="K47" s="96"/>
      <c r="L47"/>
      <c r="M47"/>
      <c r="N47"/>
      <c r="O47"/>
      <c r="P47"/>
      <c r="Q47"/>
    </row>
    <row r="48" spans="1:17" x14ac:dyDescent="0.25">
      <c r="A48" s="44" t="s">
        <v>62</v>
      </c>
      <c r="B48" s="44" t="s">
        <v>14</v>
      </c>
      <c r="C48" s="46">
        <v>33.229999999999997</v>
      </c>
      <c r="D48" s="34">
        <v>3400</v>
      </c>
      <c r="E48" s="34">
        <v>3400</v>
      </c>
      <c r="F48" s="33">
        <f>Table132[[#This Row],[New position]]-Table132[[#This Row],[Old position]]</f>
        <v>0</v>
      </c>
      <c r="G48" s="34">
        <f>ROUND(Table132[[#This Row],[Target allocation ($)]]/(IF(G82&gt;0, G61,E61)*C24)*100,3)</f>
        <v>4.5999999999999999E-2</v>
      </c>
      <c r="H48" s="39">
        <f>Table132[[#This Row],[New position]]*Table132[[#This Row],[Last_Price]]</f>
        <v>112981.99999999999</v>
      </c>
      <c r="I48" s="60"/>
      <c r="J48" s="96"/>
      <c r="K48" s="96"/>
      <c r="L48"/>
      <c r="M48"/>
      <c r="N48"/>
      <c r="O48"/>
      <c r="P48"/>
      <c r="Q48"/>
    </row>
    <row r="49" spans="1:17" x14ac:dyDescent="0.25">
      <c r="A49" s="44" t="s">
        <v>63</v>
      </c>
      <c r="B49" s="34" t="s">
        <v>14</v>
      </c>
      <c r="C49" s="46">
        <v>108.5</v>
      </c>
      <c r="D49" s="34">
        <v>189143</v>
      </c>
      <c r="E49" s="34">
        <v>151314</v>
      </c>
      <c r="F49" s="33">
        <f>Table132[[#This Row],[New position]]-Table132[[#This Row],[Old position]]</f>
        <v>-37829</v>
      </c>
      <c r="G49" s="34">
        <f>ROUND(Table132[[#This Row],[Target allocation ($)]]/(IF(G82&gt;0, G61,E61)*C24)*100,3)</f>
        <v>6.6609999999999996</v>
      </c>
      <c r="H49" s="39">
        <f>Table132[[#This Row],[New position]]*Table132[[#This Row],[Last_Price]]</f>
        <v>16417569</v>
      </c>
      <c r="I49" s="26" t="s">
        <v>98</v>
      </c>
      <c r="J49" s="94">
        <v>107</v>
      </c>
      <c r="K49" s="96">
        <v>107.02</v>
      </c>
      <c r="L49"/>
      <c r="M49"/>
      <c r="N49"/>
      <c r="O49"/>
      <c r="P49"/>
      <c r="Q49"/>
    </row>
    <row r="50" spans="1:17" x14ac:dyDescent="0.25">
      <c r="A50" s="44" t="s">
        <v>11</v>
      </c>
      <c r="B50" s="34" t="s">
        <v>14</v>
      </c>
      <c r="C50" s="46">
        <v>446.5</v>
      </c>
      <c r="D50" s="34">
        <v>61713</v>
      </c>
      <c r="E50" s="34">
        <v>72911</v>
      </c>
      <c r="F50" s="33">
        <f>Table132[[#This Row],[New position]]-Table132[[#This Row],[Old position]]</f>
        <v>11198</v>
      </c>
      <c r="G50" s="34">
        <f>ROUND(Table132[[#This Row],[Target allocation ($)]]/(IF(G82&gt;0, G61,E61)*C24)*100,3)</f>
        <v>13.209</v>
      </c>
      <c r="H50" s="39">
        <f>Table132[[#This Row],[New position]]*Table132[[#This Row],[Last_Price]]</f>
        <v>32554761.5</v>
      </c>
      <c r="I50" s="98"/>
      <c r="J50" s="94" t="s">
        <v>96</v>
      </c>
      <c r="K50" s="96">
        <v>444.93</v>
      </c>
      <c r="L50"/>
      <c r="M50"/>
      <c r="N50"/>
      <c r="O50"/>
      <c r="P50"/>
      <c r="Q50"/>
    </row>
    <row r="51" spans="1:17" x14ac:dyDescent="0.25">
      <c r="A51" s="44" t="s">
        <v>31</v>
      </c>
      <c r="B51" s="34" t="s">
        <v>14</v>
      </c>
      <c r="C51" s="46">
        <v>49.29</v>
      </c>
      <c r="D51" s="34">
        <v>18500</v>
      </c>
      <c r="E51" s="34">
        <v>18500</v>
      </c>
      <c r="F51" s="33">
        <f>Table132[[#This Row],[New position]]-Table132[[#This Row],[Old position]]</f>
        <v>0</v>
      </c>
      <c r="G51" s="34">
        <f>ROUND(Table132[[#This Row],[Target allocation ($)]]/(IF(G82&gt;0, G61,E61)*C24)*100,3)</f>
        <v>0.37</v>
      </c>
      <c r="H51" s="39">
        <f>Table132[[#This Row],[New position]]*Table132[[#This Row],[Last_Price]]</f>
        <v>911865</v>
      </c>
      <c r="I51" s="99"/>
      <c r="J51" s="94"/>
      <c r="K51" s="96"/>
      <c r="L51"/>
      <c r="M51"/>
      <c r="N51"/>
      <c r="O51"/>
      <c r="P51"/>
      <c r="Q51"/>
    </row>
    <row r="52" spans="1:17" x14ac:dyDescent="0.25">
      <c r="A52" s="44" t="s">
        <v>32</v>
      </c>
      <c r="B52" s="44" t="s">
        <v>14</v>
      </c>
      <c r="C52" s="46">
        <v>80.510000000000005</v>
      </c>
      <c r="D52" s="34">
        <v>36312</v>
      </c>
      <c r="E52" s="34">
        <v>36312</v>
      </c>
      <c r="F52" s="33">
        <f>Table132[[#This Row],[New position]]-Table132[[#This Row],[Old position]]</f>
        <v>0</v>
      </c>
      <c r="G52" s="34">
        <f>ROUND(Table132[[#This Row],[Target allocation ($)]]/(IF(G82&gt;0, G61,E61)*C24)*100,3)</f>
        <v>1.1859999999999999</v>
      </c>
      <c r="H52" s="39">
        <f>Table132[[#This Row],[New position]]*Table132[[#This Row],[Last_Price]]</f>
        <v>2923479.12</v>
      </c>
      <c r="I52" s="26"/>
      <c r="J52" s="96"/>
      <c r="K52" s="96"/>
      <c r="L52" s="42"/>
      <c r="M52"/>
      <c r="N52"/>
      <c r="O52"/>
      <c r="P52"/>
      <c r="Q52"/>
    </row>
    <row r="53" spans="1:17" x14ac:dyDescent="0.25">
      <c r="A53" s="44" t="s">
        <v>33</v>
      </c>
      <c r="B53" s="44" t="s">
        <v>14</v>
      </c>
      <c r="C53" s="46">
        <v>73.040000000000006</v>
      </c>
      <c r="D53" s="34">
        <v>38350</v>
      </c>
      <c r="E53" s="34">
        <v>38350</v>
      </c>
      <c r="F53" s="33">
        <f>Table132[[#This Row],[New position]]-Table132[[#This Row],[Old position]]</f>
        <v>0</v>
      </c>
      <c r="G53" s="34">
        <f>ROUND(Table132[[#This Row],[Target allocation ($)]]/(IF(G82&gt;0, G61,E61)*C24)*100,3)</f>
        <v>1.137</v>
      </c>
      <c r="H53" s="39">
        <f>Table132[[#This Row],[New position]]*Table132[[#This Row],[Last_Price]]</f>
        <v>2801084.0000000005</v>
      </c>
      <c r="I53" s="26"/>
      <c r="J53" s="96"/>
      <c r="K53" s="96"/>
      <c r="L53"/>
      <c r="M53"/>
      <c r="N53"/>
      <c r="O53"/>
      <c r="P53"/>
      <c r="Q53"/>
    </row>
    <row r="54" spans="1:17" x14ac:dyDescent="0.25">
      <c r="A54" s="44" t="s">
        <v>40</v>
      </c>
      <c r="B54" s="44" t="s">
        <v>14</v>
      </c>
      <c r="C54" s="46">
        <v>94.62</v>
      </c>
      <c r="D54" s="34">
        <v>63975</v>
      </c>
      <c r="E54" s="34">
        <v>63975</v>
      </c>
      <c r="F54" s="33">
        <f>Table132[[#This Row],[New position]]-Table132[[#This Row],[Old position]]</f>
        <v>0</v>
      </c>
      <c r="G54" s="34">
        <f>ROUND(Table132[[#This Row],[Target allocation ($)]]/(IF(G82&gt;0, G61,E61)*C24)*100,3)</f>
        <v>2.456</v>
      </c>
      <c r="H54" s="39">
        <f>Table132[[#This Row],[New position]]*Table132[[#This Row],[Last_Price]]</f>
        <v>6053314.5</v>
      </c>
      <c r="I54" s="26"/>
      <c r="J54" s="94"/>
      <c r="K54" s="96"/>
      <c r="L54"/>
      <c r="M54"/>
      <c r="N54"/>
      <c r="O54"/>
      <c r="P54"/>
      <c r="Q54"/>
    </row>
    <row r="55" spans="1:17" x14ac:dyDescent="0.25">
      <c r="A55" s="44" t="s">
        <v>43</v>
      </c>
      <c r="B55" s="44" t="s">
        <v>14</v>
      </c>
      <c r="C55" s="46">
        <v>108.92</v>
      </c>
      <c r="D55" s="34">
        <v>26725</v>
      </c>
      <c r="E55" s="34">
        <v>26725</v>
      </c>
      <c r="F55" s="33">
        <f>Table132[[#This Row],[New position]]-Table132[[#This Row],[Old position]]</f>
        <v>0</v>
      </c>
      <c r="G55" s="34">
        <f>ROUND(Table132[[#This Row],[Target allocation ($)]]/(IF(G82&gt;0, G61,E61)*C24)*100,3)</f>
        <v>1.181</v>
      </c>
      <c r="H55" s="39">
        <f>Table132[[#This Row],[New position]]*Table132[[#This Row],[Last_Price]]</f>
        <v>2910887</v>
      </c>
      <c r="I55" s="52"/>
      <c r="J55" s="96"/>
      <c r="K55" s="96"/>
      <c r="L55"/>
      <c r="M55"/>
      <c r="N55"/>
      <c r="O55"/>
      <c r="P55"/>
      <c r="Q55"/>
    </row>
    <row r="56" spans="1:17" x14ac:dyDescent="0.25">
      <c r="A56" s="44" t="s">
        <v>48</v>
      </c>
      <c r="B56" s="44" t="s">
        <v>14</v>
      </c>
      <c r="C56" s="46">
        <v>36.590000000000003</v>
      </c>
      <c r="D56" s="34">
        <v>78324</v>
      </c>
      <c r="E56" s="34">
        <v>78324</v>
      </c>
      <c r="F56" s="33">
        <f>Table132[[#This Row],[New position]]-Table132[[#This Row],[Old position]]</f>
        <v>0</v>
      </c>
      <c r="G56" s="34">
        <f>ROUND(Table132[[#This Row],[Target allocation ($)]]/(IF(G82&gt;0, G61,E61)*C24)*100,3)</f>
        <v>1.163</v>
      </c>
      <c r="H56" s="39">
        <f>Table132[[#This Row],[New position]]*Table132[[#This Row],[Last_Price]]</f>
        <v>2865875.16</v>
      </c>
      <c r="I56" s="52"/>
      <c r="J56" s="96"/>
      <c r="K56" s="96"/>
      <c r="L56"/>
      <c r="M56"/>
      <c r="N56"/>
      <c r="O56"/>
      <c r="P56"/>
      <c r="Q56"/>
    </row>
    <row r="57" spans="1:17" x14ac:dyDescent="0.25">
      <c r="A57" s="44" t="s">
        <v>66</v>
      </c>
      <c r="B57" s="44" t="s">
        <v>14</v>
      </c>
      <c r="C57" s="46">
        <v>47.44</v>
      </c>
      <c r="D57" s="34">
        <v>21013</v>
      </c>
      <c r="E57" s="34">
        <v>21013</v>
      </c>
      <c r="F57" s="33">
        <f>Table132[[#This Row],[New position]]-Table132[[#This Row],[Old position]]</f>
        <v>0</v>
      </c>
      <c r="G57" s="34">
        <f>ROUND(Table132[[#This Row],[Target allocation ($)]]/(IF(G82&gt;0, G61,E61)*C24)*100,3)</f>
        <v>0.40400000000000003</v>
      </c>
      <c r="H57" s="39">
        <f>Table132[[#This Row],[New position]]*Table132[[#This Row],[Last_Price]]</f>
        <v>996856.72</v>
      </c>
      <c r="I57" s="52"/>
      <c r="J57" s="96"/>
      <c r="K57" s="96"/>
      <c r="L57"/>
      <c r="M57"/>
      <c r="N57"/>
      <c r="O57"/>
      <c r="P57"/>
      <c r="Q57"/>
    </row>
    <row r="58" spans="1:17" x14ac:dyDescent="0.25">
      <c r="A58" s="44" t="s">
        <v>44</v>
      </c>
      <c r="B58" s="44" t="s">
        <v>14</v>
      </c>
      <c r="C58" s="46">
        <v>205.72</v>
      </c>
      <c r="D58" s="34">
        <v>38544</v>
      </c>
      <c r="E58" s="34">
        <v>38544</v>
      </c>
      <c r="F58" s="33">
        <f>Table132[[#This Row],[New position]]-Table132[[#This Row],[Old position]]</f>
        <v>0</v>
      </c>
      <c r="G58" s="34">
        <f>ROUND(Table132[[#This Row],[Target allocation ($)]]/(IF(G82&gt;0, G61,E61)*C24)*100,3)</f>
        <v>3.2170000000000001</v>
      </c>
      <c r="H58" s="39">
        <f>Table132[[#This Row],[New position]]*Table132[[#This Row],[Last_Price]]</f>
        <v>7929271.6799999997</v>
      </c>
      <c r="I58" s="61"/>
      <c r="J58" s="96"/>
      <c r="K58" s="96"/>
      <c r="L58"/>
      <c r="M58"/>
      <c r="N58"/>
      <c r="O58"/>
      <c r="P58"/>
      <c r="Q58"/>
    </row>
    <row r="59" spans="1:17" x14ac:dyDescent="0.25">
      <c r="A59" s="44"/>
      <c r="B59" s="44"/>
      <c r="C59" s="46"/>
      <c r="D59" s="34"/>
      <c r="E59" s="34"/>
      <c r="F59" s="31"/>
      <c r="G59" s="34"/>
      <c r="H59" s="46"/>
      <c r="I59" s="48"/>
      <c r="J59" s="68"/>
      <c r="K59" s="82"/>
      <c r="L59"/>
      <c r="M59"/>
      <c r="N59"/>
      <c r="O59"/>
      <c r="P59"/>
      <c r="Q59"/>
    </row>
    <row r="60" spans="1:17" x14ac:dyDescent="0.25">
      <c r="A60" s="44"/>
      <c r="B60" s="44"/>
      <c r="C60" s="45"/>
      <c r="D60" s="35"/>
      <c r="E60" s="53" t="s">
        <v>41</v>
      </c>
      <c r="F60" s="31"/>
      <c r="G60" s="54" t="s">
        <v>42</v>
      </c>
      <c r="H60" s="46"/>
      <c r="I60" s="48"/>
      <c r="J60" s="68"/>
      <c r="K60" s="82"/>
      <c r="L60"/>
      <c r="M60"/>
      <c r="N60"/>
      <c r="O60"/>
      <c r="P60"/>
      <c r="Q60"/>
    </row>
    <row r="61" spans="1:17" ht="30" x14ac:dyDescent="0.25">
      <c r="A61" s="44" t="s">
        <v>30</v>
      </c>
      <c r="B61" s="44"/>
      <c r="C61" s="45"/>
      <c r="D61" s="35"/>
      <c r="E61" s="34">
        <f xml:space="preserve"> IF(G82&gt;0, (C25+ABS(G82*G61))/C21, C25/C21)</f>
        <v>4.7442000000000011</v>
      </c>
      <c r="F61" s="31"/>
      <c r="G61" s="34">
        <v>4.7442000000000002</v>
      </c>
      <c r="H61" s="46"/>
      <c r="I61" s="48"/>
      <c r="J61" s="100" t="s">
        <v>74</v>
      </c>
      <c r="K61" s="81" t="s">
        <v>75</v>
      </c>
      <c r="L61"/>
      <c r="M61"/>
      <c r="N61"/>
      <c r="O61"/>
      <c r="P61"/>
      <c r="Q61"/>
    </row>
    <row r="62" spans="1:17" ht="15" customHeight="1" x14ac:dyDescent="0.25">
      <c r="A62" s="34" t="s">
        <v>34</v>
      </c>
      <c r="B62" s="34"/>
      <c r="C62" s="34"/>
      <c r="D62" s="47" t="str">
        <f>Table132[[#This Row],[Symbol]]</f>
        <v>SingleStocks</v>
      </c>
      <c r="E62" s="34">
        <f>ROUND(SUM(0)/100, 3)</f>
        <v>0</v>
      </c>
      <c r="F62" s="47" t="str">
        <f>Table132[[#This Row],[Symbol]]</f>
        <v>SingleStocks</v>
      </c>
      <c r="G62" s="34">
        <f>SUM(0)/(G61*C24)</f>
        <v>0</v>
      </c>
      <c r="H62" s="34"/>
      <c r="I62" s="93"/>
      <c r="J62" s="67" t="s">
        <v>76</v>
      </c>
      <c r="K62" s="103">
        <f>1-SUM(K63:K65)</f>
        <v>0.72494284668477926</v>
      </c>
      <c r="L62"/>
      <c r="M62"/>
      <c r="N62"/>
      <c r="O62"/>
      <c r="P62"/>
      <c r="Q62"/>
    </row>
    <row r="63" spans="1:17" ht="15" customHeight="1" x14ac:dyDescent="0.25">
      <c r="A63" s="44" t="s">
        <v>57</v>
      </c>
      <c r="B63" s="44"/>
      <c r="C63" s="45"/>
      <c r="D63" s="47" t="str">
        <f>Table132[[#This Row],[Symbol]]</f>
        <v>Healthcare</v>
      </c>
      <c r="E63" s="34">
        <f>ROUND(SUM(G28:G28)/100, 3)</f>
        <v>2.8000000000000001E-2</v>
      </c>
      <c r="F63" s="47" t="str">
        <f>Table132[[#This Row],[Symbol]]</f>
        <v>Healthcare</v>
      </c>
      <c r="G63" s="34">
        <f>SUM(H28:H28)/(G61*C24)</f>
        <v>2.8175400571155699E-2</v>
      </c>
      <c r="H63" s="46"/>
      <c r="I63" s="93"/>
      <c r="J63" s="67" t="s">
        <v>77</v>
      </c>
      <c r="K63" s="101">
        <f>(SUM(H38:H49)+H33)/C25</f>
        <v>0.23918413390207932</v>
      </c>
      <c r="L63"/>
      <c r="M63"/>
      <c r="N63"/>
      <c r="O63"/>
      <c r="P63"/>
      <c r="Q63"/>
    </row>
    <row r="64" spans="1:17" ht="15" customHeight="1" x14ac:dyDescent="0.25">
      <c r="A64" s="44" t="s">
        <v>97</v>
      </c>
      <c r="B64" s="44"/>
      <c r="C64" s="45"/>
      <c r="D64" s="47" t="str">
        <f>Table132[[#This Row],[Symbol]]</f>
        <v>Energy</v>
      </c>
      <c r="E64" s="34">
        <f>ROUND(SUM(G29:G29)/100, 3)</f>
        <v>2.8000000000000001E-2</v>
      </c>
      <c r="F64" s="47" t="str">
        <f>Table132[[#This Row],[Symbol]]</f>
        <v>Energy</v>
      </c>
      <c r="G64" s="34">
        <f>SUM(H29:H29)/(G61*C24)</f>
        <v>2.8402341404978274E-2</v>
      </c>
      <c r="H64" s="46"/>
      <c r="I64" s="106"/>
      <c r="J64" s="67"/>
      <c r="K64" s="101"/>
      <c r="L64"/>
      <c r="M64"/>
      <c r="N64"/>
      <c r="O64"/>
      <c r="P64"/>
      <c r="Q64"/>
    </row>
    <row r="65" spans="1:17" ht="15" customHeight="1" x14ac:dyDescent="0.25">
      <c r="A65" s="44" t="s">
        <v>90</v>
      </c>
      <c r="B65" s="44"/>
      <c r="C65" s="45"/>
      <c r="D65" s="47" t="str">
        <f>Table132[[#This Row],[Symbol]]</f>
        <v>Financials</v>
      </c>
      <c r="E65" s="34">
        <f>ROUND(SUM(G30:G30)/100, 3)</f>
        <v>7.0000000000000007E-2</v>
      </c>
      <c r="F65" s="47" t="str">
        <f>Table132[[#This Row],[Symbol]]</f>
        <v>Financials</v>
      </c>
      <c r="G65" s="34">
        <f>SUM(H30:H30)/(G61*C24)</f>
        <v>7.0147684458676043E-2</v>
      </c>
      <c r="H65" s="46"/>
      <c r="I65" s="93"/>
      <c r="J65" s="67" t="s">
        <v>78</v>
      </c>
      <c r="K65" s="102">
        <f>(H58+H51)/C25</f>
        <v>3.5873019413141402E-2</v>
      </c>
      <c r="L65"/>
      <c r="M65"/>
      <c r="N65"/>
      <c r="O65"/>
      <c r="P65"/>
      <c r="Q65"/>
    </row>
    <row r="66" spans="1:17" ht="15" customHeight="1" x14ac:dyDescent="0.25">
      <c r="A66" s="44" t="s">
        <v>91</v>
      </c>
      <c r="B66" s="44"/>
      <c r="C66" s="45"/>
      <c r="D66" s="47" t="str">
        <f>Table132[[#This Row],[Symbol]]</f>
        <v>Techs</v>
      </c>
      <c r="E66" s="50">
        <f>ROUND(SUM(G31:G31)/100, 3)</f>
        <v>6.9000000000000006E-2</v>
      </c>
      <c r="F66" s="47" t="str">
        <f>Table132[[#This Row],[Symbol]]</f>
        <v>Techs</v>
      </c>
      <c r="G66" s="50">
        <f>SUM(H31:H31)/(G61*C24)</f>
        <v>6.8837247400611257E-2</v>
      </c>
      <c r="H66" s="46"/>
      <c r="I66" s="105"/>
      <c r="J66" s="67"/>
      <c r="K66" s="101"/>
      <c r="L66"/>
      <c r="M66"/>
      <c r="N66"/>
      <c r="O66"/>
      <c r="P66"/>
      <c r="Q66"/>
    </row>
    <row r="67" spans="1:17" ht="15" customHeight="1" x14ac:dyDescent="0.25">
      <c r="A67" s="44" t="s">
        <v>50</v>
      </c>
      <c r="B67" s="44"/>
      <c r="C67" s="45"/>
      <c r="D67" s="47" t="str">
        <f>Table132[[#This Row],[Symbol]]</f>
        <v>Semiconductor</v>
      </c>
      <c r="E67" s="34">
        <f>ROUND(SUM(G32:G34)/100, 3)</f>
        <v>0.28899999999999998</v>
      </c>
      <c r="F67" s="47" t="str">
        <f>Table132[[#This Row],[Symbol]]</f>
        <v>Semiconductor</v>
      </c>
      <c r="G67" s="34">
        <f>SUM(H32:H34)/(G61*C24)</f>
        <v>0.28947629830380966</v>
      </c>
      <c r="H67" s="46"/>
      <c r="I67" s="93"/>
      <c r="K67" s="83"/>
      <c r="L67"/>
      <c r="M67"/>
      <c r="N67"/>
      <c r="O67"/>
      <c r="P67"/>
      <c r="Q67"/>
    </row>
    <row r="68" spans="1:17" ht="15.75" customHeight="1" x14ac:dyDescent="0.25">
      <c r="A68" s="44" t="s">
        <v>94</v>
      </c>
      <c r="B68" s="44"/>
      <c r="C68" s="45"/>
      <c r="D68" s="47" t="str">
        <f>Table132[[#This Row],[Symbol]]</f>
        <v>Russell</v>
      </c>
      <c r="E68" s="50">
        <f>ROUND(SUM(G35:G37)/100, 3)</f>
        <v>0.12</v>
      </c>
      <c r="F68" s="47" t="str">
        <f>Table132[[#This Row],[Symbol]]</f>
        <v>Russell</v>
      </c>
      <c r="G68" s="50">
        <f>SUM(H35:H37)/(G61*C24)</f>
        <v>0.11984712643573217</v>
      </c>
      <c r="H68" s="46"/>
      <c r="I68" s="93"/>
      <c r="J68" s="69"/>
      <c r="K68" s="83"/>
      <c r="L68"/>
      <c r="M68"/>
      <c r="N68"/>
      <c r="O68"/>
      <c r="P68"/>
      <c r="Q68"/>
    </row>
    <row r="69" spans="1:17" ht="15.75" customHeight="1" x14ac:dyDescent="0.25">
      <c r="A69" s="44" t="s">
        <v>45</v>
      </c>
      <c r="B69" s="44"/>
      <c r="C69" s="45"/>
      <c r="D69" s="47" t="str">
        <f>Table132[[#This Row],[Symbol]]</f>
        <v>S&amp;P</v>
      </c>
      <c r="E69" s="34">
        <f>ROUND(0/100, 3)</f>
        <v>0</v>
      </c>
      <c r="F69" s="47" t="str">
        <f>Table132[[#This Row],[Symbol]]</f>
        <v>S&amp;P</v>
      </c>
      <c r="G69" s="34">
        <f>SUM(0)/(G61*C24)</f>
        <v>0</v>
      </c>
      <c r="H69" s="46"/>
      <c r="I69" s="93"/>
      <c r="J69" s="69"/>
      <c r="K69" s="83"/>
      <c r="L69"/>
      <c r="M69"/>
      <c r="N69"/>
      <c r="O69"/>
      <c r="P69"/>
      <c r="Q69"/>
    </row>
    <row r="70" spans="1:17" ht="15.75" customHeight="1" x14ac:dyDescent="0.25">
      <c r="A70" s="44" t="s">
        <v>46</v>
      </c>
      <c r="B70" s="44"/>
      <c r="C70" s="45"/>
      <c r="D70" s="47" t="str">
        <f>Table132[[#This Row],[Symbol]]</f>
        <v>Dow Jones</v>
      </c>
      <c r="E70" s="34">
        <f>ROUND(0/100, 3)</f>
        <v>0</v>
      </c>
      <c r="F70" s="47" t="str">
        <f>Table132[[#This Row],[Symbol]]</f>
        <v>Dow Jones</v>
      </c>
      <c r="G70" s="34">
        <f>SUM(0)/(G61*C24)</f>
        <v>0</v>
      </c>
      <c r="H70" s="46"/>
      <c r="I70" s="51"/>
      <c r="J70" s="69"/>
      <c r="K70" s="83"/>
      <c r="L70"/>
      <c r="M70"/>
      <c r="N70"/>
      <c r="O70"/>
      <c r="P70"/>
      <c r="Q70"/>
    </row>
    <row r="71" spans="1:17" ht="14.25" customHeight="1" x14ac:dyDescent="0.25">
      <c r="A71" s="44" t="s">
        <v>49</v>
      </c>
      <c r="B71" s="44"/>
      <c r="C71" s="45"/>
      <c r="D71" s="47" t="str">
        <f>Table132[[#This Row],[Symbol]]</f>
        <v>Int Stocks</v>
      </c>
      <c r="E71" s="34">
        <f>ROUND(SUM(G38:G46)/100, 3)</f>
        <v>7.9000000000000001E-2</v>
      </c>
      <c r="F71" s="47" t="str">
        <f>Table132[[#This Row],[Symbol]]</f>
        <v>Int Stocks</v>
      </c>
      <c r="G71" s="34">
        <f>SUM(H38:H46)/(G61*C24)</f>
        <v>7.8523943406083888E-2</v>
      </c>
      <c r="H71" s="46"/>
      <c r="I71" s="46"/>
      <c r="J71" s="69"/>
      <c r="K71" s="83"/>
      <c r="L71"/>
      <c r="M71"/>
      <c r="N71"/>
      <c r="O71"/>
      <c r="P71"/>
      <c r="Q71"/>
    </row>
    <row r="72" spans="1:17" ht="14.25" customHeight="1" x14ac:dyDescent="0.25">
      <c r="A72" s="44" t="s">
        <v>64</v>
      </c>
      <c r="B72" s="44"/>
      <c r="C72" s="45"/>
      <c r="D72" s="47" t="str">
        <f>Table132[[#This Row],[Symbol]]</f>
        <v>JP Stocks</v>
      </c>
      <c r="E72" s="34">
        <f>ROUND(SUM(G47:G49)/100, 3)</f>
        <v>7.2999999999999995E-2</v>
      </c>
      <c r="F72" s="47" t="str">
        <f>Table132[[#This Row],[Symbol]]</f>
        <v>JP Stocks</v>
      </c>
      <c r="G72" s="34">
        <f>SUM(H47:H49)/(G61*C24)</f>
        <v>7.3348348587384898E-2</v>
      </c>
      <c r="H72" s="46"/>
      <c r="I72" s="62"/>
      <c r="J72" s="71"/>
      <c r="K72" s="85"/>
      <c r="L72"/>
      <c r="M72"/>
      <c r="N72"/>
      <c r="O72"/>
      <c r="P72"/>
      <c r="Q72"/>
    </row>
    <row r="73" spans="1:17" ht="15.75" customHeight="1" x14ac:dyDescent="0.25">
      <c r="A73" s="44" t="s">
        <v>72</v>
      </c>
      <c r="B73" s="44"/>
      <c r="C73" s="45"/>
      <c r="D73" s="47" t="str">
        <f>Table132[[#This Row],[Symbol]]</f>
        <v>Nasdaq</v>
      </c>
      <c r="E73" s="50">
        <f>ROUND(SUM(G50)/100, 3)</f>
        <v>0.13200000000000001</v>
      </c>
      <c r="F73" s="47" t="str">
        <f>Table132[[#This Row],[Symbol]]</f>
        <v>Nasdaq</v>
      </c>
      <c r="G73" s="50">
        <f>SUM(H50)/(G61*C24)</f>
        <v>0.1320905846131907</v>
      </c>
      <c r="H73" s="46"/>
      <c r="I73" s="27"/>
      <c r="J73" s="67"/>
      <c r="K73" s="81"/>
      <c r="L73"/>
      <c r="M73"/>
      <c r="N73"/>
      <c r="O73"/>
      <c r="P73"/>
      <c r="Q73"/>
    </row>
    <row r="74" spans="1:17" ht="15.75" customHeight="1" x14ac:dyDescent="0.25">
      <c r="A74" s="57" t="s">
        <v>51</v>
      </c>
      <c r="B74" s="44"/>
      <c r="C74" s="45"/>
      <c r="D74" s="47" t="str">
        <f>Table132[[#This Row],[Symbol]]</f>
        <v>Regional Bank</v>
      </c>
      <c r="E74" s="50">
        <f>ROUND(SUM(0)/100, 3)</f>
        <v>0</v>
      </c>
      <c r="F74" s="47" t="str">
        <f>Table132[[#This Row],[Symbol]]</f>
        <v>Regional Bank</v>
      </c>
      <c r="G74" s="50">
        <f>SUM(0)/(G61*C24)</f>
        <v>0</v>
      </c>
      <c r="H74" s="46"/>
      <c r="I74" s="27"/>
      <c r="J74" s="67"/>
      <c r="K74" s="81"/>
      <c r="L74"/>
      <c r="M74"/>
      <c r="N74"/>
      <c r="O74"/>
      <c r="P74"/>
      <c r="Q74"/>
    </row>
    <row r="75" spans="1:17" ht="15.75" customHeight="1" x14ac:dyDescent="0.25">
      <c r="A75" s="44" t="s">
        <v>55</v>
      </c>
      <c r="B75" s="44"/>
      <c r="C75" s="45"/>
      <c r="D75" s="47" t="str">
        <f>Table132[[#This Row],[Symbol]]</f>
        <v>Short</v>
      </c>
      <c r="E75" s="34">
        <f>ROUND(SUM(0)/100, 3)</f>
        <v>0</v>
      </c>
      <c r="F75" s="47" t="str">
        <f>Table132[[#This Row],[Symbol]]</f>
        <v>Short</v>
      </c>
      <c r="G75" s="34">
        <f>SUM(0)/(G61*C24)</f>
        <v>0</v>
      </c>
      <c r="H75" s="46"/>
      <c r="I75" s="58"/>
      <c r="J75" s="70"/>
      <c r="K75" s="84"/>
      <c r="L75"/>
      <c r="M75"/>
      <c r="N75"/>
      <c r="O75"/>
      <c r="P75"/>
      <c r="Q75"/>
    </row>
    <row r="76" spans="1:17" ht="14.25" customHeight="1" x14ac:dyDescent="0.25">
      <c r="A76" s="34" t="s">
        <v>27</v>
      </c>
      <c r="B76" s="44"/>
      <c r="C76" s="45"/>
      <c r="D76" s="47" t="str">
        <f>Table132[[#This Row],[Symbol]]</f>
        <v>Bonds</v>
      </c>
      <c r="E76" s="34">
        <f>ROUND((SUM(G52:G57))/100, 3)</f>
        <v>7.4999999999999997E-2</v>
      </c>
      <c r="F76" s="47" t="str">
        <f>Table132[[#This Row],[Symbol]]</f>
        <v>Bonds</v>
      </c>
      <c r="G76" s="34">
        <f>(SUM(H52:H57))/(G61*C24)</f>
        <v>7.5272491802299377E-2</v>
      </c>
      <c r="H76" s="46"/>
      <c r="I76" s="27"/>
      <c r="J76" s="67"/>
      <c r="K76" s="81"/>
      <c r="L76"/>
      <c r="M76"/>
      <c r="N76"/>
      <c r="O76"/>
      <c r="P76"/>
      <c r="Q76"/>
    </row>
    <row r="77" spans="1:17" ht="14.25" customHeight="1" x14ac:dyDescent="0.25">
      <c r="A77" s="44" t="s">
        <v>59</v>
      </c>
      <c r="B77" s="44"/>
      <c r="C77" s="45"/>
      <c r="D77" s="47" t="str">
        <f>Table132[[#This Row],[Symbol]]</f>
        <v>Core</v>
      </c>
      <c r="E77" s="34">
        <f>ROUND((SUM(0))/100, 3)</f>
        <v>0</v>
      </c>
      <c r="F77" s="47" t="str">
        <f>Table132[[#This Row],[Symbol]]</f>
        <v>Core</v>
      </c>
      <c r="G77" s="34">
        <f>(SUM(0))/(G61*C24)</f>
        <v>0</v>
      </c>
      <c r="H77" s="46"/>
      <c r="I77" s="59"/>
      <c r="J77" s="72"/>
      <c r="K77" s="86"/>
      <c r="L77"/>
      <c r="M77"/>
      <c r="N77"/>
      <c r="O77"/>
      <c r="P77"/>
      <c r="Q77"/>
    </row>
    <row r="78" spans="1:17" ht="14.25" customHeight="1" x14ac:dyDescent="0.25">
      <c r="A78" s="44" t="s">
        <v>36</v>
      </c>
      <c r="B78" s="34"/>
      <c r="C78" s="34"/>
      <c r="D78" s="47" t="str">
        <f>Table132[[#This Row],[Symbol]]</f>
        <v>Gold</v>
      </c>
      <c r="E78" s="34">
        <f>ROUND(SUM(G58)/100,3)</f>
        <v>3.2000000000000001E-2</v>
      </c>
      <c r="F78" s="47" t="str">
        <f>Table132[[#This Row],[Symbol]]</f>
        <v>Gold</v>
      </c>
      <c r="G78" s="34">
        <f>SUM(H58)/(G61*C24)</f>
        <v>3.2172932115261135E-2</v>
      </c>
      <c r="H78" s="34"/>
      <c r="I78" s="28"/>
      <c r="J78" s="73"/>
      <c r="K78" s="80"/>
      <c r="L78"/>
      <c r="M78"/>
      <c r="N78"/>
      <c r="O78"/>
      <c r="P78"/>
      <c r="Q78"/>
    </row>
    <row r="79" spans="1:17" ht="15" customHeight="1" x14ac:dyDescent="0.25">
      <c r="A79" s="34" t="s">
        <v>28</v>
      </c>
      <c r="B79" s="34"/>
      <c r="C79" s="34"/>
      <c r="D79" s="47" t="str">
        <f>Table132[[#This Row],[Symbol]]</f>
        <v>Commodities</v>
      </c>
      <c r="E79" s="34">
        <f>ROUND(SUM(G51)/100,3)</f>
        <v>4.0000000000000001E-3</v>
      </c>
      <c r="F79" s="47" t="str">
        <f>Table132[[#This Row],[Symbol]]</f>
        <v>Commodities</v>
      </c>
      <c r="G79" s="34">
        <f>SUM(H51)/(G61*C24)</f>
        <v>3.6998821489847848E-3</v>
      </c>
      <c r="H79" s="34"/>
      <c r="I79" s="29"/>
      <c r="J79" s="74"/>
      <c r="K79" s="87"/>
      <c r="L79"/>
      <c r="M79"/>
      <c r="N79"/>
      <c r="O79"/>
      <c r="P79"/>
      <c r="Q79"/>
    </row>
    <row r="80" spans="1:17" ht="14.25" customHeight="1" x14ac:dyDescent="0.25">
      <c r="A80" s="44" t="s">
        <v>35</v>
      </c>
      <c r="B80" s="44"/>
      <c r="C80" s="45"/>
      <c r="D80" s="47" t="str">
        <f>Table132[[#This Row],[Symbol]]</f>
        <v>Crypto</v>
      </c>
      <c r="E80" s="50">
        <f>ROUND(SUM(0)/100,3)</f>
        <v>0</v>
      </c>
      <c r="F80" s="47" t="str">
        <f>Table132[[#This Row],[Symbol]]</f>
        <v>Crypto</v>
      </c>
      <c r="G80" s="50">
        <f>SUM(0)/(G61*C24)</f>
        <v>0</v>
      </c>
      <c r="H80" s="46"/>
      <c r="I80" s="49"/>
      <c r="J80" s="75"/>
      <c r="K80" s="88"/>
      <c r="L80"/>
      <c r="M80"/>
      <c r="N80"/>
      <c r="O80"/>
      <c r="P80"/>
      <c r="Q80"/>
    </row>
    <row r="81" spans="1:17" ht="14.25" customHeight="1" x14ac:dyDescent="0.25">
      <c r="A81" s="34" t="s">
        <v>23</v>
      </c>
      <c r="B81" s="34"/>
      <c r="C81" s="34"/>
      <c r="D81" s="47" t="str">
        <f>Table132[[#This Row],[Symbol]]</f>
        <v>Cash</v>
      </c>
      <c r="E81" s="34">
        <f>1-SUM(E62:E80)</f>
        <v>1.0000000000001119E-3</v>
      </c>
      <c r="F81" s="47" t="str">
        <f>Table132[[#This Row],[Symbol]]</f>
        <v>Cash</v>
      </c>
      <c r="G81" s="34">
        <f>1-SUM(G62:G80)</f>
        <v>5.7187518320844788E-6</v>
      </c>
      <c r="H81" s="34"/>
      <c r="I81" s="27"/>
      <c r="J81" s="67"/>
      <c r="K81" s="81"/>
      <c r="L81"/>
      <c r="M81"/>
      <c r="N81"/>
      <c r="O81"/>
      <c r="P81"/>
      <c r="Q81"/>
    </row>
    <row r="82" spans="1:17" x14ac:dyDescent="0.25">
      <c r="A82" s="25" t="s">
        <v>29</v>
      </c>
      <c r="B82" s="25"/>
      <c r="C82" s="32"/>
      <c r="D82" s="31"/>
      <c r="E82" s="39">
        <f>C24*E81</f>
        <v>51949.296000005816</v>
      </c>
      <c r="F82" s="31"/>
      <c r="G82" s="34">
        <f>C24*G81</f>
        <v>297.08513167549887</v>
      </c>
      <c r="H82" s="39"/>
      <c r="I82" s="30"/>
      <c r="J82" s="76"/>
      <c r="K82" s="89"/>
      <c r="L82"/>
      <c r="M82"/>
      <c r="N82"/>
      <c r="O82"/>
      <c r="P82"/>
      <c r="Q82"/>
    </row>
    <row r="83" spans="1:17" x14ac:dyDescent="0.25">
      <c r="A83" s="25"/>
      <c r="B83" s="25"/>
      <c r="C83" s="32"/>
      <c r="D83" s="25"/>
      <c r="E83" s="25"/>
      <c r="F83" s="25"/>
      <c r="G83" s="34"/>
      <c r="H83" s="39"/>
      <c r="I83" s="27"/>
      <c r="J83" s="67"/>
      <c r="K83" s="81"/>
      <c r="L83"/>
      <c r="M83"/>
      <c r="N83"/>
      <c r="O83"/>
      <c r="P83"/>
      <c r="Q83"/>
    </row>
    <row r="84" spans="1:17" x14ac:dyDescent="0.25">
      <c r="A84" s="25"/>
      <c r="B84" s="25"/>
      <c r="C84" s="32"/>
      <c r="D84" s="25"/>
      <c r="E84" s="25"/>
      <c r="F84" s="31"/>
      <c r="G84" s="34"/>
      <c r="H84" s="39"/>
      <c r="I84" s="27"/>
      <c r="J84" s="67"/>
      <c r="K84" s="81"/>
      <c r="L84"/>
      <c r="M84"/>
      <c r="N84"/>
      <c r="O84"/>
      <c r="P84"/>
      <c r="Q84"/>
    </row>
    <row r="85" spans="1:17" x14ac:dyDescent="0.25">
      <c r="A85" s="25"/>
      <c r="B85" s="25"/>
      <c r="C85" s="32"/>
      <c r="D85" s="25"/>
      <c r="E85" s="25"/>
      <c r="F85" s="31"/>
      <c r="G85" s="34"/>
      <c r="H85" s="39"/>
      <c r="I85" s="27"/>
      <c r="J85" s="67"/>
      <c r="K85" s="81"/>
      <c r="L85"/>
      <c r="M85"/>
      <c r="N85"/>
      <c r="O85"/>
      <c r="P85"/>
      <c r="Q85"/>
    </row>
    <row r="86" spans="1:17" x14ac:dyDescent="0.25">
      <c r="A86" s="20"/>
      <c r="B86" s="5" t="s">
        <v>21</v>
      </c>
      <c r="D86" s="1"/>
      <c r="E86" s="5" t="s">
        <v>20</v>
      </c>
      <c r="F86" s="1"/>
      <c r="G86" s="5"/>
      <c r="H86" s="40" t="s">
        <v>2</v>
      </c>
      <c r="I86" s="4"/>
      <c r="J86" s="77"/>
      <c r="K86" s="90"/>
      <c r="L86"/>
      <c r="M86"/>
      <c r="N86"/>
      <c r="O86"/>
      <c r="P86"/>
      <c r="Q86"/>
    </row>
    <row r="87" spans="1:17" x14ac:dyDescent="0.25">
      <c r="B87" s="5" t="s">
        <v>24</v>
      </c>
      <c r="D87" s="1"/>
      <c r="E87" s="5" t="s">
        <v>24</v>
      </c>
      <c r="F87" s="1"/>
      <c r="G87" s="5"/>
      <c r="H87" s="40" t="s">
        <v>3</v>
      </c>
      <c r="L87"/>
      <c r="M87"/>
      <c r="N87"/>
      <c r="O87"/>
      <c r="P87"/>
      <c r="Q87"/>
    </row>
    <row r="88" spans="1:17" x14ac:dyDescent="0.25">
      <c r="B88" s="3"/>
      <c r="C88"/>
      <c r="D88" s="1"/>
      <c r="E88" s="3"/>
      <c r="F88" s="19"/>
      <c r="G88" s="3"/>
      <c r="H88" s="41"/>
      <c r="L88"/>
      <c r="M88"/>
      <c r="N88"/>
      <c r="O88"/>
      <c r="P88"/>
      <c r="Q88"/>
    </row>
    <row r="89" spans="1:17" x14ac:dyDescent="0.25">
      <c r="C89"/>
      <c r="L89"/>
      <c r="M89"/>
      <c r="N89"/>
      <c r="O89"/>
      <c r="P89"/>
      <c r="Q89"/>
    </row>
    <row r="90" spans="1:17" x14ac:dyDescent="0.25">
      <c r="L90"/>
      <c r="M90"/>
      <c r="N90"/>
      <c r="O90"/>
      <c r="P90"/>
      <c r="Q90"/>
    </row>
    <row r="91" spans="1:17" x14ac:dyDescent="0.25">
      <c r="L91"/>
      <c r="M91"/>
      <c r="N91"/>
      <c r="O91"/>
      <c r="P91"/>
      <c r="Q91"/>
    </row>
    <row r="92" spans="1:17" x14ac:dyDescent="0.25">
      <c r="L92"/>
      <c r="M92"/>
      <c r="N92"/>
      <c r="O92"/>
      <c r="P92"/>
      <c r="Q92"/>
    </row>
    <row r="93" spans="1:17" x14ac:dyDescent="0.25">
      <c r="L93"/>
      <c r="M93"/>
      <c r="N93"/>
      <c r="O93"/>
      <c r="P93"/>
      <c r="Q93"/>
    </row>
  </sheetData>
  <mergeCells count="16">
    <mergeCell ref="A24:B24"/>
    <mergeCell ref="A25:B25"/>
    <mergeCell ref="A1:B1"/>
    <mergeCell ref="A2:B2"/>
    <mergeCell ref="A19:B19"/>
    <mergeCell ref="A21:B21"/>
    <mergeCell ref="A22:B22"/>
    <mergeCell ref="A23:B23"/>
    <mergeCell ref="A3:B3"/>
    <mergeCell ref="A17:B17"/>
    <mergeCell ref="A16:B16"/>
    <mergeCell ref="A20:B20"/>
    <mergeCell ref="A13:B13"/>
    <mergeCell ref="A8:B8"/>
    <mergeCell ref="A11:B11"/>
    <mergeCell ref="A12:B12"/>
  </mergeCells>
  <phoneticPr fontId="13" type="noConversion"/>
  <pageMargins left="0.7" right="0.7" top="0.75" bottom="0.75" header="0.3" footer="0.3"/>
  <pageSetup paperSize="9" scale="6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2024-05-06T06:17:16Z</cp:lastPrinted>
  <dcterms:created xsi:type="dcterms:W3CDTF">2020-06-30T03:42:56Z</dcterms:created>
  <dcterms:modified xsi:type="dcterms:W3CDTF">2024-05-06T06:29:27Z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