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480" documentId="14_{A48F4B07-3EF3-43E5-91B2-4CA340E6013A}" xr6:coauthVersionLast="47" xr6:coauthVersionMax="47" xr10:uidLastSave="{5C63C37C-6B7B-4367-BB2D-3E0F8B42A945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3" l="1"/>
  <c r="G63" i="3"/>
  <c r="F63" i="3"/>
  <c r="D63" i="3"/>
  <c r="F29" i="3" l="1"/>
  <c r="H29" i="3"/>
  <c r="F64" i="3" l="1"/>
  <c r="F65" i="3"/>
  <c r="D64" i="3"/>
  <c r="D65" i="3"/>
  <c r="H30" i="3"/>
  <c r="H31" i="3"/>
  <c r="F30" i="3"/>
  <c r="F31" i="3"/>
  <c r="H34" i="3"/>
  <c r="F34" i="3"/>
  <c r="H35" i="3" l="1"/>
  <c r="H36" i="3"/>
  <c r="H37" i="3"/>
  <c r="F35" i="3"/>
  <c r="F36" i="3"/>
  <c r="F37" i="3"/>
  <c r="F50" i="3"/>
  <c r="H50" i="3"/>
  <c r="E74" i="3" l="1"/>
  <c r="E79" i="3" l="1"/>
  <c r="F49" i="3"/>
  <c r="H49" i="3" l="1"/>
  <c r="E76" i="3"/>
  <c r="E73" i="3"/>
  <c r="H28" i="3"/>
  <c r="F28" i="3"/>
  <c r="E61" i="3"/>
  <c r="H32" i="3"/>
  <c r="F32" i="3"/>
  <c r="F44" i="3" l="1"/>
  <c r="H44" i="3"/>
  <c r="E69" i="3" l="1"/>
  <c r="E68" i="3"/>
  <c r="F47" i="3"/>
  <c r="F71" i="3" l="1"/>
  <c r="D71" i="3"/>
  <c r="F57" i="3" l="1"/>
  <c r="H57" i="3"/>
  <c r="H47" i="3" l="1"/>
  <c r="H46" i="3"/>
  <c r="F46" i="3"/>
  <c r="D76" i="3" l="1"/>
  <c r="F76" i="3"/>
  <c r="D62" i="3" l="1"/>
  <c r="D66" i="3"/>
  <c r="D67" i="3"/>
  <c r="D68" i="3"/>
  <c r="D69" i="3"/>
  <c r="D70" i="3"/>
  <c r="D72" i="3"/>
  <c r="D73" i="3"/>
  <c r="D74" i="3"/>
  <c r="D75" i="3"/>
  <c r="D77" i="3"/>
  <c r="D78" i="3"/>
  <c r="D79" i="3"/>
  <c r="D80" i="3"/>
  <c r="F62" i="3"/>
  <c r="H43" i="3"/>
  <c r="F43" i="3"/>
  <c r="F45" i="3"/>
  <c r="H45" i="3"/>
  <c r="F42" i="3" l="1"/>
  <c r="H42" i="3"/>
  <c r="F74" i="3"/>
  <c r="D61" i="3" l="1"/>
  <c r="F70" i="3"/>
  <c r="F68" i="3"/>
  <c r="F67" i="3"/>
  <c r="F66" i="3"/>
  <c r="F61" i="3"/>
  <c r="F73" i="3"/>
  <c r="F69" i="3" l="1"/>
  <c r="F72" i="3"/>
  <c r="F75" i="3"/>
  <c r="F77" i="3"/>
  <c r="F78" i="3"/>
  <c r="F79" i="3"/>
  <c r="F80" i="3"/>
  <c r="H53" i="3" l="1"/>
  <c r="H52" i="3" l="1"/>
  <c r="H54" i="3"/>
  <c r="H55" i="3"/>
  <c r="H56" i="3"/>
  <c r="F52" i="3"/>
  <c r="F53" i="3"/>
  <c r="F54" i="3"/>
  <c r="F55" i="3"/>
  <c r="F56" i="3"/>
  <c r="F38" i="3" l="1"/>
  <c r="F39" i="3"/>
  <c r="F40" i="3"/>
  <c r="F48" i="3"/>
  <c r="F51" i="3"/>
  <c r="H51" i="3"/>
  <c r="H38" i="3" l="1"/>
  <c r="H39" i="3"/>
  <c r="H48" i="3" l="1"/>
  <c r="H33" i="3"/>
  <c r="H41" i="3" l="1"/>
  <c r="H40" i="3"/>
  <c r="C25" i="3" l="1" a="1"/>
  <c r="C25" i="3" s="1"/>
  <c r="K64" i="3" l="1"/>
  <c r="K62" i="3"/>
  <c r="F41" i="3"/>
  <c r="K61" i="3" l="1"/>
  <c r="F33" i="3"/>
  <c r="C24" i="3"/>
  <c r="C11" i="3" s="1"/>
  <c r="C6" i="3" l="1"/>
  <c r="C5" i="3"/>
  <c r="C4" i="3"/>
  <c r="G65" i="3"/>
  <c r="G62" i="3"/>
  <c r="G64" i="3"/>
  <c r="G66" i="3"/>
  <c r="C7" i="3"/>
  <c r="C8" i="3"/>
  <c r="G67" i="3"/>
  <c r="G78" i="3"/>
  <c r="G75" i="3"/>
  <c r="C16" i="3"/>
  <c r="G74" i="3"/>
  <c r="C15" i="3"/>
  <c r="C19" i="3"/>
  <c r="G79" i="3"/>
  <c r="G72" i="3"/>
  <c r="C13" i="3"/>
  <c r="C18" i="3"/>
  <c r="G76" i="3"/>
  <c r="G73" i="3"/>
  <c r="C14" i="3"/>
  <c r="G61" i="3"/>
  <c r="C3" i="3"/>
  <c r="C12" i="3"/>
  <c r="C20" i="3"/>
  <c r="C17" i="3"/>
  <c r="G77" i="3"/>
  <c r="C9" i="3"/>
  <c r="G68" i="3"/>
  <c r="C10" i="3"/>
  <c r="G69" i="3"/>
  <c r="G71" i="3"/>
  <c r="G70" i="3"/>
  <c r="C2" i="3"/>
  <c r="G80" i="3" l="1"/>
  <c r="G81" i="3" s="1"/>
  <c r="E60" i="3" l="1"/>
  <c r="G31" i="3" s="1"/>
  <c r="E65" i="3" s="1"/>
  <c r="G42" i="3" l="1"/>
  <c r="G29" i="3"/>
  <c r="E63" i="3" s="1"/>
  <c r="G28" i="3"/>
  <c r="E62" i="3" s="1"/>
  <c r="G50" i="3"/>
  <c r="E78" i="3" s="1"/>
  <c r="G38" i="3"/>
  <c r="G36" i="3"/>
  <c r="G54" i="3"/>
  <c r="G53" i="3"/>
  <c r="G51" i="3"/>
  <c r="G32" i="3"/>
  <c r="G49" i="3"/>
  <c r="E72" i="3" s="1"/>
  <c r="G35" i="3"/>
  <c r="G39" i="3"/>
  <c r="G55" i="3"/>
  <c r="G47" i="3"/>
  <c r="G46" i="3"/>
  <c r="G48" i="3"/>
  <c r="G52" i="3"/>
  <c r="G37" i="3"/>
  <c r="G34" i="3"/>
  <c r="G33" i="3"/>
  <c r="G30" i="3"/>
  <c r="E64" i="3" s="1"/>
  <c r="G41" i="3"/>
  <c r="G57" i="3"/>
  <c r="E77" i="3" s="1"/>
  <c r="G56" i="3"/>
  <c r="G40" i="3"/>
  <c r="G44" i="3"/>
  <c r="G45" i="3"/>
  <c r="G43" i="3"/>
  <c r="E66" i="3" l="1"/>
  <c r="E71" i="3"/>
  <c r="E67" i="3"/>
  <c r="E75" i="3"/>
  <c r="E80" i="3" l="1"/>
  <c r="E81" i="3" s="1"/>
</calcChain>
</file>

<file path=xl/sharedStrings.xml><?xml version="1.0" encoding="utf-8"?>
<sst xmlns="http://schemas.openxmlformats.org/spreadsheetml/2006/main" count="126" uniqueCount="96">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</sst>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  <xf numFmtId="164" fontId="25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1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Sheet1!$D$61:$D$80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Sheet1!$E$61:$E$80</c:f>
              <c:numCache>
                <c:formatCode>General</c:formatCode>
                <c:ptCount val="20"/>
                <c:pt idx="0">
                  <c:v>0</c:v>
                </c:pt>
                <c:pt idx="1">
                  <c:v>2.8000000000000001E-2</c:v>
                </c:pt>
                <c:pt idx="2">
                  <c:v>2.9000000000000001E-2</c:v>
                </c:pt>
                <c:pt idx="3">
                  <c:v>6.9000000000000006E-2</c:v>
                </c:pt>
                <c:pt idx="4">
                  <c:v>6.8000000000000005E-2</c:v>
                </c:pt>
                <c:pt idx="5">
                  <c:v>0.28899999999999998</c:v>
                </c:pt>
                <c:pt idx="6">
                  <c:v>0.11899999999999999</c:v>
                </c:pt>
                <c:pt idx="7">
                  <c:v>0</c:v>
                </c:pt>
                <c:pt idx="8">
                  <c:v>0</c:v>
                </c:pt>
                <c:pt idx="9">
                  <c:v>0.08</c:v>
                </c:pt>
                <c:pt idx="10">
                  <c:v>7.4999999999999997E-2</c:v>
                </c:pt>
                <c:pt idx="11">
                  <c:v>0.13200000000000001</c:v>
                </c:pt>
                <c:pt idx="12">
                  <c:v>0</c:v>
                </c:pt>
                <c:pt idx="13">
                  <c:v>0</c:v>
                </c:pt>
                <c:pt idx="14">
                  <c:v>7.3999999999999996E-2</c:v>
                </c:pt>
                <c:pt idx="15">
                  <c:v>0</c:v>
                </c:pt>
                <c:pt idx="16">
                  <c:v>3.3000000000000002E-2</c:v>
                </c:pt>
                <c:pt idx="17">
                  <c:v>4.0000000000000001E-3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3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3E-4F17-803B-CCDCEDB050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Sheet1!$J$61:$J$65</c:f>
              <c:strCache>
                <c:ptCount val="4"/>
                <c:pt idx="0">
                  <c:v> US </c:v>
                </c:pt>
                <c:pt idx="1">
                  <c:v> International </c:v>
                </c:pt>
                <c:pt idx="3">
                  <c:v> Commodity </c:v>
                </c:pt>
              </c:strCache>
            </c:strRef>
          </c:cat>
          <c:val>
            <c:numRef>
              <c:f>Sheet1!$K$61:$K$65</c:f>
              <c:numCache>
                <c:formatCode>0%</c:formatCode>
                <c:ptCount val="5"/>
                <c:pt idx="0">
                  <c:v>0.72034201345296611</c:v>
                </c:pt>
                <c:pt idx="1">
                  <c:v>0.24296829447278273</c:v>
                </c:pt>
                <c:pt idx="3">
                  <c:v>3.6689692074251087E-2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4" totalsRowShown="0" headerRowDxfId="13" dataDxfId="11" headerRowBorderDxfId="12" tableBorderDxfId="10" totalsRowBorderDxfId="9">
  <autoFilter ref="A27:I84" xr:uid="{00000000-0009-0000-0100-000001000000}"/>
  <sortState xmlns:xlrd2="http://schemas.microsoft.com/office/spreadsheetml/2017/richdata2" ref="A28:I83">
    <sortCondition ref="A27:A8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2"/>
  <sheetViews>
    <sheetView tabSelected="1" zoomScale="120" zoomScaleNormal="120" workbookViewId="0">
      <selection activeCell="H40" sqref="H40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45384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C25/C24</f>
        <v>4.507224280828436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81</v>
      </c>
      <c r="B3" s="110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55</v>
      </c>
      <c r="B4" s="57"/>
      <c r="C4" s="15">
        <f>SUM(H28:H28)/C24</f>
        <v>0.12566404845810089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91</v>
      </c>
      <c r="B5" s="57"/>
      <c r="C5" s="15">
        <f>SUM(H30:H30)/C24</f>
        <v>0.31155708815880817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92</v>
      </c>
      <c r="B6" s="57"/>
      <c r="C6" s="15">
        <f>SUM(H31:H31)/C24</f>
        <v>0.30854940777521667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SUM(H32:H34)/C24</f>
        <v>1.3028551646045794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9" t="s">
        <v>85</v>
      </c>
      <c r="B8" s="110"/>
      <c r="C8" s="15">
        <f>SUM(H35:H37)/C24</f>
        <v>0.53410495258411561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82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83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9" t="s">
        <v>39</v>
      </c>
      <c r="B11" s="110"/>
      <c r="C11" s="15">
        <f>SUM(H38:H45)/C24</f>
        <v>0.36243063476702775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9" t="s">
        <v>64</v>
      </c>
      <c r="B12" s="110"/>
      <c r="C12" s="15">
        <f>SUM(H46:H48)/C24</f>
        <v>0.34018838369018567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9" t="s">
        <v>72</v>
      </c>
      <c r="B13" s="110"/>
      <c r="C13" s="15">
        <f>SUM(H49)/C24</f>
        <v>0.59289663678545579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84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57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9" t="s">
        <v>25</v>
      </c>
      <c r="B17" s="110"/>
      <c r="C17" s="15">
        <f>SUM(H51:H56)/C24</f>
        <v>0.33476269038806866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59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9" t="s">
        <v>38</v>
      </c>
      <c r="B20" s="110"/>
      <c r="C20" s="15">
        <f>SUM(H57)/C24</f>
        <v>0.14761078584597551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7" t="s">
        <v>8</v>
      </c>
      <c r="B21" s="107"/>
      <c r="C21" s="18">
        <v>54694013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7" t="s">
        <v>9</v>
      </c>
      <c r="B24" s="107"/>
      <c r="C24" s="18">
        <f>C21+C22-C23</f>
        <v>54694013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246518183.40954614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67</v>
      </c>
      <c r="K27" s="93" t="s">
        <v>68</v>
      </c>
    </row>
    <row r="28" spans="1:17" x14ac:dyDescent="0.25">
      <c r="A28" s="44" t="s">
        <v>70</v>
      </c>
      <c r="B28" s="34" t="s">
        <v>14</v>
      </c>
      <c r="C28" s="94">
        <v>146.22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($)]]/(IF(G81&gt;0, G60,E60)*C24)*100,3)</f>
        <v>2.7879999999999998</v>
      </c>
      <c r="H28" s="39">
        <f>Table132[[#This Row],[New position]]*Table132[[#This Row],[Last_Price]]</f>
        <v>6873071.0999999996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4">
        <v>95.64</v>
      </c>
      <c r="D29" s="34">
        <v>73684</v>
      </c>
      <c r="E29" s="34">
        <v>73684</v>
      </c>
      <c r="F29" s="33">
        <f>Table132[[#This Row],[New position]]-Table132[[#This Row],[Old position]]</f>
        <v>0</v>
      </c>
      <c r="G29" s="34">
        <f>ROUND(Table132[[#This Row],[Target allocation ($)]]/(IF(G81&gt;0, G60,E60)*C24)*100,3)</f>
        <v>2.859</v>
      </c>
      <c r="H29" s="39">
        <f>Table132[[#This Row],[New position]]*Table132[[#This Row],[Last_Price]]</f>
        <v>7047137.7599999998</v>
      </c>
      <c r="I29" s="98"/>
      <c r="J29" s="95"/>
      <c r="K29" s="95"/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41.89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($)]]/(IF(G81&gt;0, G60,E60)*C24)*100,3)</f>
        <v>6.9119999999999999</v>
      </c>
      <c r="H30" s="39">
        <f>Table132[[#This Row],[New position]]*Table132[[#This Row],[Last_Price]]</f>
        <v>17040307.43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4">
        <v>208.89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($)]]/(IF(G81&gt;0, G60,E60)*C24)*100,3)</f>
        <v>6.8460000000000001</v>
      </c>
      <c r="H31" s="39">
        <f>Table132[[#This Row],[New position]]*Table132[[#This Row],[Last_Price]]</f>
        <v>16875805.32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4">
        <v>227.97</v>
      </c>
      <c r="D32" s="34">
        <v>181518</v>
      </c>
      <c r="E32" s="34">
        <v>181518</v>
      </c>
      <c r="F32" s="33">
        <f>Table132[[#This Row],[New position]]-Table132[[#This Row],[Old position]]</f>
        <v>0</v>
      </c>
      <c r="G32" s="34">
        <f>ROUND(Table132[[#This Row],[Target allocation ($)]]/(IF(G81&gt;0, G60,E60)*C24)*100,3)</f>
        <v>16.786000000000001</v>
      </c>
      <c r="H32" s="39">
        <f>Table132[[#This Row],[New position]]*Table132[[#This Row],[Last_Price]]</f>
        <v>41380658.460000001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4">
        <v>66.95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($)]]/(IF(G81&gt;0, G60,E60)*C24)*100,3)</f>
        <v>8.7080000000000002</v>
      </c>
      <c r="H33" s="39">
        <f>Table132[[#This Row],[New position]]*Table132[[#This Row],[Last_Price]]</f>
        <v>21467048.850000001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4">
        <v>900.5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($)]]/(IF(G81&gt;0, G60,E60)*C24)*100,3)</f>
        <v>3.4119999999999999</v>
      </c>
      <c r="H34" s="39">
        <f>Table132[[#This Row],[New position]]*Table132[[#This Row],[Last_Price]]</f>
        <v>8410670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4">
        <v>58.09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($)]]/(IF(G81&gt;0, G60,E60)*C24)*100,3)</f>
        <v>6.2949999999999999</v>
      </c>
      <c r="H35" s="39">
        <f>Table132[[#This Row],[New position]]*Table132[[#This Row],[Last_Price]]</f>
        <v>15518046.420000002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4">
        <v>208.39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($)]]/(IF(G81&gt;0, G60,E60)*C24)*100,3)</f>
        <v>4.9219999999999997</v>
      </c>
      <c r="H36" s="39">
        <f>Table132[[#This Row],[New position]]*Table132[[#This Row],[Last_Price]]</f>
        <v>12133299.359999999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48.83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($)]]/(IF(G81&gt;0, G60,E60)*C24)*100,3)</f>
        <v>0.63300000000000001</v>
      </c>
      <c r="H37" s="39">
        <f>Table132[[#This Row],[New position]]*Table132[[#This Row],[Last_Price]]</f>
        <v>1560997.44</v>
      </c>
      <c r="I37" s="105"/>
      <c r="J37" s="95"/>
      <c r="K37" s="95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239.289106145251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($)]]/(IF(G81&gt;0, G60,E60)*C24)*100,3)</f>
        <v>8.6999999999999994E-2</v>
      </c>
      <c r="H38" s="39">
        <f>Table132[[#This Row],[New position]]*Table132[[#This Row],[Last_Price]]</f>
        <v>215360.1955307259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39.5140664961637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($)]]/(IF(G81&gt;0, G60,E60)*C24)*100,3)</f>
        <v>0.245</v>
      </c>
      <c r="H39" s="39">
        <f>Table132[[#This Row],[New position]]*Table132[[#This Row],[Last_Price]]</f>
        <v>604565.21739130456</v>
      </c>
      <c r="I39" s="52"/>
      <c r="J39" s="95"/>
      <c r="K39" s="95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9.0601023017902804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($)]]/(IF(G81&gt;0, G60,E60)*C24)*100,3)</f>
        <v>8.1000000000000003E-2</v>
      </c>
      <c r="H40" s="39">
        <f>Table132[[#This Row],[New position]]*Table132[[#This Row],[Last_Price]]</f>
        <v>199322.25063938615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4">
        <v>13.414322250639399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($)]]/(IF(G81&gt;0, G60,E60)*C24)*100,3)</f>
        <v>8.5000000000000006E-2</v>
      </c>
      <c r="H41" s="39">
        <f>Table132[[#This Row],[New position]]*Table132[[#This Row],[Last_Price]]</f>
        <v>209263.42710997464</v>
      </c>
      <c r="I41" s="27"/>
      <c r="J41" s="95"/>
      <c r="K41" s="95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4">
        <v>0.91304347826086996</v>
      </c>
      <c r="D42" s="34">
        <v>1684000</v>
      </c>
      <c r="E42" s="34">
        <v>1684000</v>
      </c>
      <c r="F42" s="33">
        <f>Table132[[#This Row],[New position]]-Table132[[#This Row],[Old position]]</f>
        <v>0</v>
      </c>
      <c r="G42" s="34">
        <f>ROUND(Table132[[#This Row],[Target allocation ($)]]/(IF(G81&gt;0, G60,E60)*C24)*100,3)</f>
        <v>0.624</v>
      </c>
      <c r="H42" s="39">
        <f>Table132[[#This Row],[New position]]*Table132[[#This Row],[Last_Price]]</f>
        <v>1537565.2173913049</v>
      </c>
      <c r="I42" s="59"/>
      <c r="J42" s="95"/>
      <c r="K42" s="96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4">
        <v>2.4501278772378501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($)]]/(IF(G81&gt;0, G60,E60)*C24)*100,3)</f>
        <v>2.5459999999999998</v>
      </c>
      <c r="H43" s="39">
        <f>Table132[[#This Row],[New position]]*Table132[[#This Row],[Last_Price]]</f>
        <v>6277227.6214833716</v>
      </c>
      <c r="I43" s="59"/>
      <c r="J43" s="95"/>
      <c r="K43" s="95"/>
      <c r="L43"/>
      <c r="N43"/>
      <c r="O43"/>
      <c r="P43"/>
      <c r="Q43"/>
    </row>
    <row r="44" spans="1:17" x14ac:dyDescent="0.25">
      <c r="A44" s="34" t="s">
        <v>66</v>
      </c>
      <c r="B44" s="34" t="s">
        <v>14</v>
      </c>
      <c r="C44" s="94">
        <v>43.7</v>
      </c>
      <c r="D44" s="34">
        <v>239592</v>
      </c>
      <c r="E44" s="34">
        <v>239592</v>
      </c>
      <c r="F44" s="33">
        <f>Table132[[#This Row],[New position]]-Table132[[#This Row],[Old position]]</f>
        <v>0</v>
      </c>
      <c r="G44" s="34">
        <f>ROUND(Table132[[#This Row],[Target allocation ($)]]/(IF(G81&gt;0, G60,E60)*C24)*100,3)</f>
        <v>4.2469999999999999</v>
      </c>
      <c r="H44" s="39">
        <f>Table132[[#This Row],[New position]]*Table132[[#This Row],[Last_Price]]</f>
        <v>10470170.4</v>
      </c>
      <c r="I44" s="65"/>
      <c r="J44" s="95"/>
      <c r="K44" s="97"/>
      <c r="L44"/>
      <c r="M44"/>
      <c r="N44"/>
      <c r="O44"/>
      <c r="P44"/>
      <c r="Q44"/>
    </row>
    <row r="45" spans="1:17" x14ac:dyDescent="0.25">
      <c r="A45" s="34" t="s">
        <v>53</v>
      </c>
      <c r="B45" s="34" t="s">
        <v>14</v>
      </c>
      <c r="C45" s="46">
        <v>23.52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($)]]/(IF(G81&gt;0, G60,E60)*C24)*100,3)</f>
        <v>0.125</v>
      </c>
      <c r="H45" s="39">
        <f>Table132[[#This Row],[New position]]*Table132[[#This Row],[Last_Price]]</f>
        <v>309311.52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52</v>
      </c>
      <c r="B46" s="44" t="s">
        <v>14</v>
      </c>
      <c r="C46" s="46">
        <v>70.069999999999993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($)]]/(IF(G81&gt;0, G60,E60)*C24)*100,3)</f>
        <v>0.61599999999999999</v>
      </c>
      <c r="H46" s="39">
        <f>Table132[[#This Row],[New position]]*Table132[[#This Row],[Last_Price]]</f>
        <v>1518977.46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61</v>
      </c>
      <c r="B47" s="44" t="s">
        <v>14</v>
      </c>
      <c r="C47" s="46">
        <v>32.65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($)]]/(IF(G81&gt;0, G60,E60)*C24)*100,3)</f>
        <v>4.4999999999999998E-2</v>
      </c>
      <c r="H47" s="39">
        <f>Table132[[#This Row],[New position]]*Table132[[#This Row],[Last_Price]]</f>
        <v>111010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62</v>
      </c>
      <c r="B48" s="34" t="s">
        <v>14</v>
      </c>
      <c r="C48" s="46">
        <v>107.01</v>
      </c>
      <c r="D48" s="34">
        <v>158642</v>
      </c>
      <c r="E48" s="34">
        <v>158642</v>
      </c>
      <c r="F48" s="33">
        <f>Table132[[#This Row],[New position]]-Table132[[#This Row],[Old position]]</f>
        <v>0</v>
      </c>
      <c r="G48" s="34">
        <f>ROUND(Table132[[#This Row],[Target allocation ($)]]/(IF(G81&gt;0, G60,E60)*C24)*100,3)</f>
        <v>6.8860000000000001</v>
      </c>
      <c r="H48" s="39">
        <f>Table132[[#This Row],[New position]]*Table132[[#This Row],[Last_Price]]</f>
        <v>16976280.420000002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444.76</v>
      </c>
      <c r="D49" s="34">
        <v>72911</v>
      </c>
      <c r="E49" s="34">
        <v>72911</v>
      </c>
      <c r="F49" s="33">
        <f>Table132[[#This Row],[New position]]-Table132[[#This Row],[Old position]]</f>
        <v>0</v>
      </c>
      <c r="G49" s="34">
        <f>ROUND(Table132[[#This Row],[Target allocation ($)]]/(IF(G81&gt;0, G60,E60)*C24)*100,3)</f>
        <v>13.154</v>
      </c>
      <c r="H49" s="39">
        <f>Table132[[#This Row],[New position]]*Table132[[#This Row],[Last_Price]]</f>
        <v>32427896.359999999</v>
      </c>
      <c r="I49" s="99"/>
      <c r="J49" s="95"/>
      <c r="K49" s="97"/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52.5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($)]]/(IF(G81&gt;0, G60,E60)*C24)*100,3)</f>
        <v>0.39400000000000002</v>
      </c>
      <c r="H50" s="39">
        <f>Table132[[#This Row],[New position]]*Table132[[#This Row],[Last_Price]]</f>
        <v>971250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79.66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($)]]/(IF(G81&gt;0, G60,E60)*C24)*100,3)</f>
        <v>1.173</v>
      </c>
      <c r="H51" s="39">
        <f>Table132[[#This Row],[New position]]*Table132[[#This Row],[Last_Price]]</f>
        <v>2892613.92</v>
      </c>
      <c r="I51" s="26"/>
      <c r="J51" s="97"/>
      <c r="K51" s="97"/>
      <c r="L51" s="42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72.78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($)]]/(IF(G81&gt;0, G60,E60)*C24)*100,3)</f>
        <v>1.1319999999999999</v>
      </c>
      <c r="H52" s="39">
        <f>Table132[[#This Row],[New position]]*Table132[[#This Row],[Last_Price]]</f>
        <v>2791113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92.66</v>
      </c>
      <c r="D53" s="34">
        <v>63975</v>
      </c>
      <c r="E53" s="34">
        <v>63975</v>
      </c>
      <c r="F53" s="33">
        <f>Table132[[#This Row],[New position]]-Table132[[#This Row],[Old position]]</f>
        <v>0</v>
      </c>
      <c r="G53" s="34">
        <f>ROUND(Table132[[#This Row],[Target allocation ($)]]/(IF(G81&gt;0, G60,E60)*C24)*100,3)</f>
        <v>2.4049999999999998</v>
      </c>
      <c r="H53" s="39">
        <f>Table132[[#This Row],[New position]]*Table132[[#This Row],[Last_Price]]</f>
        <v>5927923.5</v>
      </c>
      <c r="I53" s="26"/>
      <c r="J53" s="95"/>
      <c r="K53" s="97"/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107.47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($)]]/(IF(G81&gt;0, G60,E60)*C24)*100,3)</f>
        <v>1.165</v>
      </c>
      <c r="H54" s="39">
        <f>Table132[[#This Row],[New position]]*Table132[[#This Row],[Last_Price]]</f>
        <v>2872135.75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36.19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($)]]/(IF(G81&gt;0, G60,E60)*C24)*100,3)</f>
        <v>1.1499999999999999</v>
      </c>
      <c r="H55" s="39">
        <f>Table132[[#This Row],[New position]]*Table132[[#This Row],[Last_Price]]</f>
        <v>2834545.5599999996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65</v>
      </c>
      <c r="B56" s="44" t="s">
        <v>14</v>
      </c>
      <c r="C56" s="46">
        <v>47.17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($)]]/(IF(G81&gt;0, G60,E60)*C24)*100,3)</f>
        <v>0.40200000000000002</v>
      </c>
      <c r="H56" s="39">
        <f>Table132[[#This Row],[New position]]*Table132[[#This Row],[Last_Price]]</f>
        <v>991183.21000000008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209.46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($)]]/(IF(G81&gt;0, G60,E60)*C24)*100,3)</f>
        <v>3.2749999999999999</v>
      </c>
      <c r="H57" s="39">
        <f>Table132[[#This Row],[New position]]*Table132[[#This Row],[Last_Price]]</f>
        <v>8073426.2400000002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IF(G81&gt;0, (C25+ABS(G81*G60))/C21, C25/C21)</f>
        <v>4.507224280828436</v>
      </c>
      <c r="F60" s="31"/>
      <c r="G60" s="34">
        <v>4.5069999999999997</v>
      </c>
      <c r="H60" s="46"/>
      <c r="I60" s="48"/>
      <c r="J60" s="101" t="s">
        <v>73</v>
      </c>
      <c r="K60" s="82" t="s">
        <v>74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94"/>
      <c r="J61" s="68" t="s">
        <v>75</v>
      </c>
      <c r="K61" s="104">
        <f>1-SUM(K62:K64)</f>
        <v>0.72034201345296611</v>
      </c>
      <c r="L61"/>
      <c r="M61"/>
      <c r="N61"/>
      <c r="O61"/>
      <c r="P61"/>
      <c r="Q61"/>
    </row>
    <row r="62" spans="1:17" ht="15" customHeight="1" x14ac:dyDescent="0.25">
      <c r="A62" s="44" t="s">
        <v>56</v>
      </c>
      <c r="B62" s="44"/>
      <c r="C62" s="45"/>
      <c r="D62" s="47" t="str">
        <f>Table132[[#This Row],[Symbol]]</f>
        <v>Healthcare</v>
      </c>
      <c r="E62" s="34">
        <f>ROUND(SUM(G28:G28)/100, 3)</f>
        <v>2.8000000000000001E-2</v>
      </c>
      <c r="F62" s="47" t="str">
        <f>Table132[[#This Row],[Symbol]]</f>
        <v>Healthcare</v>
      </c>
      <c r="G62" s="34">
        <f>SUM(H28:H28)/(G60*C24)</f>
        <v>2.7881972145129996E-2</v>
      </c>
      <c r="H62" s="46"/>
      <c r="I62" s="94"/>
      <c r="J62" s="68" t="s">
        <v>76</v>
      </c>
      <c r="K62" s="102">
        <f>(SUM(H38:H48)+H33)/C25</f>
        <v>0.24296829447278273</v>
      </c>
      <c r="L62"/>
      <c r="M62"/>
      <c r="N62"/>
      <c r="O62"/>
      <c r="P62"/>
      <c r="Q62"/>
    </row>
    <row r="63" spans="1:17" ht="15" customHeight="1" x14ac:dyDescent="0.25">
      <c r="A63" s="111" t="s">
        <v>95</v>
      </c>
      <c r="B63" s="111"/>
      <c r="C63" s="112"/>
      <c r="D63" s="47" t="str">
        <f>Table132[[#This Row],[Symbol]]</f>
        <v>Energy</v>
      </c>
      <c r="E63" s="34">
        <f>ROUND(SUM(G29:G29)/100, 3)</f>
        <v>2.9000000000000001E-2</v>
      </c>
      <c r="F63" s="47" t="str">
        <f>Table132[[#This Row],[Symbol]]</f>
        <v>Energy</v>
      </c>
      <c r="G63" s="34">
        <f>SUM(H29:H29)/(G60*C24)</f>
        <v>2.8588107975081736E-2</v>
      </c>
      <c r="H63" s="46"/>
      <c r="I63" s="113"/>
      <c r="J63" s="68"/>
      <c r="K63" s="102"/>
      <c r="L63"/>
      <c r="M63"/>
      <c r="N63"/>
      <c r="O63"/>
      <c r="P63"/>
      <c r="Q63"/>
    </row>
    <row r="64" spans="1:17" ht="15" customHeight="1" x14ac:dyDescent="0.25">
      <c r="A64" s="44" t="s">
        <v>89</v>
      </c>
      <c r="B64" s="44"/>
      <c r="C64" s="45"/>
      <c r="D64" s="47" t="str">
        <f>Table132[[#This Row],[Symbol]]</f>
        <v>Financials</v>
      </c>
      <c r="E64" s="34">
        <f>ROUND(SUM(G30:G30)/100, 3)</f>
        <v>6.9000000000000006E-2</v>
      </c>
      <c r="F64" s="47" t="str">
        <f>Table132[[#This Row],[Symbol]]</f>
        <v>Financials</v>
      </c>
      <c r="G64" s="51">
        <f>SUM(H30:H30)/(G60*C24)</f>
        <v>6.9127377004394974E-2</v>
      </c>
      <c r="H64" s="46"/>
      <c r="I64" s="94"/>
      <c r="J64" s="68" t="s">
        <v>77</v>
      </c>
      <c r="K64" s="103">
        <f>(H57+H50)/C25</f>
        <v>3.6689692074251087E-2</v>
      </c>
      <c r="L64"/>
      <c r="M64"/>
      <c r="N64"/>
      <c r="O64"/>
      <c r="P64"/>
      <c r="Q64"/>
    </row>
    <row r="65" spans="1:17" ht="15" customHeight="1" x14ac:dyDescent="0.25">
      <c r="A65" s="44" t="s">
        <v>90</v>
      </c>
      <c r="B65" s="44"/>
      <c r="C65" s="45"/>
      <c r="D65" s="47" t="str">
        <f>Table132[[#This Row],[Symbol]]</f>
        <v>Techs</v>
      </c>
      <c r="E65" s="51">
        <f>ROUND(SUM(G31:G31)/100, 3)</f>
        <v>6.8000000000000005E-2</v>
      </c>
      <c r="F65" s="47" t="str">
        <f>Table132[[#This Row],[Symbol]]</f>
        <v>Techs</v>
      </c>
      <c r="G65" s="34">
        <f>SUM(H31:H31)/(G60*C24)</f>
        <v>6.8460041663016794E-2</v>
      </c>
      <c r="H65" s="46"/>
      <c r="I65" s="106"/>
      <c r="J65" s="68"/>
      <c r="K65" s="102"/>
      <c r="L65"/>
      <c r="M65"/>
      <c r="N65"/>
      <c r="O65"/>
      <c r="P65"/>
      <c r="Q65"/>
    </row>
    <row r="66" spans="1:17" ht="15" customHeight="1" x14ac:dyDescent="0.25">
      <c r="A66" s="44" t="s">
        <v>50</v>
      </c>
      <c r="B66" s="44"/>
      <c r="C66" s="45"/>
      <c r="D66" s="47" t="str">
        <f>Table132[[#This Row],[Symbol]]</f>
        <v>Semiconductor</v>
      </c>
      <c r="E66" s="34">
        <f>ROUND(SUM(G32:G34)/100, 3)</f>
        <v>0.28899999999999998</v>
      </c>
      <c r="F66" s="47" t="str">
        <f>Table132[[#This Row],[Symbol]]</f>
        <v>Semiconductor</v>
      </c>
      <c r="G66" s="51">
        <f>SUM(H32:H34)/(G60*C24)</f>
        <v>0.28907369971257585</v>
      </c>
      <c r="H66" s="46"/>
      <c r="I66" s="94"/>
      <c r="K66" s="84"/>
      <c r="L66"/>
      <c r="M66"/>
      <c r="N66"/>
      <c r="O66"/>
      <c r="P66"/>
      <c r="Q66"/>
    </row>
    <row r="67" spans="1:17" ht="15.75" customHeight="1" x14ac:dyDescent="0.25">
      <c r="A67" s="44" t="s">
        <v>93</v>
      </c>
      <c r="B67" s="44"/>
      <c r="C67" s="45"/>
      <c r="D67" s="47" t="str">
        <f>Table132[[#This Row],[Symbol]]</f>
        <v>Russell</v>
      </c>
      <c r="E67" s="51">
        <f>ROUND(SUM(G35:G37)/100, 3)</f>
        <v>0.11899999999999999</v>
      </c>
      <c r="F67" s="47" t="str">
        <f>Table132[[#This Row],[Symbol]]</f>
        <v>Russell</v>
      </c>
      <c r="G67" s="51">
        <f>SUM(H35:H37)/(G60*C24)</f>
        <v>0.11850564734504451</v>
      </c>
      <c r="H67" s="46"/>
      <c r="I67" s="94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45</v>
      </c>
      <c r="B68" s="44"/>
      <c r="C68" s="45"/>
      <c r="D68" s="47" t="str">
        <f>Table132[[#This Row],[Symbol]]</f>
        <v>S&amp;P</v>
      </c>
      <c r="E68" s="34">
        <f>ROUND(0/100, 3)</f>
        <v>0</v>
      </c>
      <c r="F68" s="47" t="str">
        <f>Table132[[#This Row],[Symbol]]</f>
        <v>S&amp;P</v>
      </c>
      <c r="G68" s="34">
        <f>SUM(0)/(G60*C24)</f>
        <v>0</v>
      </c>
      <c r="H68" s="46"/>
      <c r="I68" s="94"/>
      <c r="J68" s="70"/>
      <c r="K68" s="84"/>
      <c r="L68"/>
      <c r="M68"/>
      <c r="N68"/>
      <c r="O68"/>
      <c r="P68"/>
      <c r="Q68"/>
    </row>
    <row r="69" spans="1:17" ht="15.75" customHeight="1" x14ac:dyDescent="0.25">
      <c r="A69" s="44" t="s">
        <v>46</v>
      </c>
      <c r="B69" s="44"/>
      <c r="C69" s="45"/>
      <c r="D69" s="47" t="str">
        <f>Table132[[#This Row],[Symbol]]</f>
        <v>Dow Jones</v>
      </c>
      <c r="E69" s="34">
        <f>ROUND(0/100, 3)</f>
        <v>0</v>
      </c>
      <c r="F69" s="47" t="str">
        <f>Table132[[#This Row],[Symbol]]</f>
        <v>Dow Jones</v>
      </c>
      <c r="G69" s="51">
        <f>SUM(0)/(G60*C24)</f>
        <v>0</v>
      </c>
      <c r="H69" s="46"/>
      <c r="I69" s="52"/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49</v>
      </c>
      <c r="B70" s="44"/>
      <c r="C70" s="45"/>
      <c r="D70" s="47" t="str">
        <f>Table132[[#This Row],[Symbol]]</f>
        <v>Int Stocks</v>
      </c>
      <c r="E70" s="34">
        <f>ROUND(SUM(G38:G45)/100, 3)</f>
        <v>0.08</v>
      </c>
      <c r="F70" s="47" t="str">
        <f>Table132[[#This Row],[Symbol]]</f>
        <v>Int Stocks</v>
      </c>
      <c r="G70" s="34">
        <f>SUM(H38:H45)/(G60*C24)</f>
        <v>8.041505098003722E-2</v>
      </c>
      <c r="H70" s="46"/>
      <c r="I70" s="46"/>
      <c r="J70" s="70"/>
      <c r="K70" s="84"/>
      <c r="L70"/>
      <c r="M70"/>
      <c r="N70"/>
      <c r="O70"/>
      <c r="P70"/>
      <c r="Q70"/>
    </row>
    <row r="71" spans="1:17" ht="14.25" customHeight="1" x14ac:dyDescent="0.25">
      <c r="A71" s="44" t="s">
        <v>63</v>
      </c>
      <c r="B71" s="44"/>
      <c r="C71" s="45"/>
      <c r="D71" s="47" t="str">
        <f>Table132[[#This Row],[Symbol]]</f>
        <v>JP Stocks</v>
      </c>
      <c r="E71" s="34">
        <f>ROUND(SUM(G46:G48)/100, 3)</f>
        <v>7.4999999999999997E-2</v>
      </c>
      <c r="F71" s="47" t="str">
        <f>Table132[[#This Row],[Symbol]]</f>
        <v>JP Stocks</v>
      </c>
      <c r="G71" s="51">
        <f>SUM(H46:H48)/(G60*C24)</f>
        <v>7.5480005256309227E-2</v>
      </c>
      <c r="H71" s="46"/>
      <c r="I71" s="63"/>
      <c r="J71" s="72"/>
      <c r="K71" s="86"/>
      <c r="L71"/>
      <c r="M71"/>
      <c r="N71"/>
      <c r="O71"/>
      <c r="P71"/>
      <c r="Q71"/>
    </row>
    <row r="72" spans="1:17" ht="15.75" customHeight="1" x14ac:dyDescent="0.25">
      <c r="A72" s="44" t="s">
        <v>71</v>
      </c>
      <c r="B72" s="44"/>
      <c r="C72" s="45"/>
      <c r="D72" s="47" t="str">
        <f>Table132[[#This Row],[Symbol]]</f>
        <v>Nasdaq</v>
      </c>
      <c r="E72" s="51">
        <f>ROUND(SUM(G49)/100, 3)</f>
        <v>0.13200000000000001</v>
      </c>
      <c r="F72" s="47" t="str">
        <f>Table132[[#This Row],[Symbol]]</f>
        <v>Nasdaq</v>
      </c>
      <c r="G72" s="51">
        <f>SUM(H49)/(G60*C24)</f>
        <v>0.13155017456965962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58" t="s">
        <v>51</v>
      </c>
      <c r="B73" s="44"/>
      <c r="C73" s="45"/>
      <c r="D73" s="47" t="str">
        <f>Table132[[#This Row],[Symbol]]</f>
        <v>Regional Bank</v>
      </c>
      <c r="E73" s="51">
        <f>ROUND(SUM(0)/100, 3)</f>
        <v>0</v>
      </c>
      <c r="F73" s="47" t="str">
        <f>Table132[[#This Row],[Symbol]]</f>
        <v>Regional Bank</v>
      </c>
      <c r="G73" s="34">
        <f>SUM(0)/(G60*C24)</f>
        <v>0</v>
      </c>
      <c r="H73" s="46"/>
      <c r="I73" s="27"/>
      <c r="J73" s="68"/>
      <c r="K73" s="82"/>
      <c r="L73"/>
      <c r="M73"/>
      <c r="N73"/>
      <c r="O73"/>
      <c r="P73"/>
      <c r="Q73"/>
    </row>
    <row r="74" spans="1:17" ht="15.75" customHeight="1" x14ac:dyDescent="0.25">
      <c r="A74" s="44" t="s">
        <v>54</v>
      </c>
      <c r="B74" s="44"/>
      <c r="C74" s="45"/>
      <c r="D74" s="47" t="str">
        <f>Table132[[#This Row],[Symbol]]</f>
        <v>Short</v>
      </c>
      <c r="E74" s="34">
        <f>ROUND(SUM(0)/100, 3)</f>
        <v>0</v>
      </c>
      <c r="F74" s="47" t="str">
        <f>Table132[[#This Row],[Symbol]]</f>
        <v>Short</v>
      </c>
      <c r="G74" s="51">
        <f>SUM(0)/(G60*C24)</f>
        <v>0</v>
      </c>
      <c r="H74" s="46"/>
      <c r="I74" s="59"/>
      <c r="J74" s="71"/>
      <c r="K74" s="85"/>
      <c r="L74"/>
      <c r="M74"/>
      <c r="N74"/>
      <c r="O74"/>
      <c r="P74"/>
      <c r="Q74"/>
    </row>
    <row r="75" spans="1:17" ht="14.25" customHeight="1" x14ac:dyDescent="0.25">
      <c r="A75" s="34" t="s">
        <v>27</v>
      </c>
      <c r="B75" s="44"/>
      <c r="C75" s="45"/>
      <c r="D75" s="47" t="str">
        <f>Table132[[#This Row],[Symbol]]</f>
        <v>Bonds</v>
      </c>
      <c r="E75" s="34">
        <f>ROUND((SUM(G51:G56))/100, 3)</f>
        <v>7.3999999999999996E-2</v>
      </c>
      <c r="F75" s="47" t="str">
        <f>Table132[[#This Row],[Symbol]]</f>
        <v>Bonds</v>
      </c>
      <c r="G75" s="51">
        <f>(SUM(H51:H56))/(G60*C24)</f>
        <v>7.4276168268930257E-2</v>
      </c>
      <c r="H75" s="46"/>
      <c r="I75" s="27"/>
      <c r="J75" s="68"/>
      <c r="K75" s="82"/>
      <c r="L75"/>
      <c r="M75"/>
      <c r="N75"/>
      <c r="O75"/>
      <c r="P75"/>
      <c r="Q75"/>
    </row>
    <row r="76" spans="1:17" ht="14.25" customHeight="1" x14ac:dyDescent="0.25">
      <c r="A76" s="44" t="s">
        <v>58</v>
      </c>
      <c r="B76" s="44"/>
      <c r="C76" s="45"/>
      <c r="D76" s="47" t="str">
        <f>Table132[[#This Row],[Symbol]]</f>
        <v>Core</v>
      </c>
      <c r="E76" s="34">
        <f>ROUND((SUM(0))/100, 3)</f>
        <v>0</v>
      </c>
      <c r="F76" s="47" t="str">
        <f>Table132[[#This Row],[Symbol]]</f>
        <v>Core</v>
      </c>
      <c r="G76" s="34">
        <f>(SUM(0))/(G60*C24)</f>
        <v>0</v>
      </c>
      <c r="H76" s="46"/>
      <c r="I76" s="60"/>
      <c r="J76" s="73"/>
      <c r="K76" s="87"/>
      <c r="L76"/>
      <c r="M76"/>
      <c r="N76"/>
      <c r="O76"/>
      <c r="P76"/>
      <c r="Q76"/>
    </row>
    <row r="77" spans="1:17" ht="14.25" customHeight="1" x14ac:dyDescent="0.25">
      <c r="A77" s="44" t="s">
        <v>36</v>
      </c>
      <c r="B77" s="34"/>
      <c r="C77" s="34"/>
      <c r="D77" s="47" t="str">
        <f>Table132[[#This Row],[Symbol]]</f>
        <v>Gold</v>
      </c>
      <c r="E77" s="34">
        <f>ROUND(SUM(G57)/100,3)</f>
        <v>3.3000000000000002E-2</v>
      </c>
      <c r="F77" s="47" t="str">
        <f>Table132[[#This Row],[Symbol]]</f>
        <v>Gold</v>
      </c>
      <c r="G77" s="51">
        <f>SUM(H57)/(G60*C24)</f>
        <v>3.2751450154421012E-2</v>
      </c>
      <c r="H77" s="34"/>
      <c r="I77" s="28"/>
      <c r="J77" s="74"/>
      <c r="K77" s="81"/>
      <c r="L77"/>
      <c r="M77"/>
      <c r="N77"/>
      <c r="O77"/>
      <c r="P77"/>
      <c r="Q77"/>
    </row>
    <row r="78" spans="1:17" ht="15" customHeight="1" x14ac:dyDescent="0.25">
      <c r="A78" s="34" t="s">
        <v>28</v>
      </c>
      <c r="B78" s="34"/>
      <c r="C78" s="34"/>
      <c r="D78" s="47" t="str">
        <f>Table132[[#This Row],[Symbol]]</f>
        <v>Commodities</v>
      </c>
      <c r="E78" s="34">
        <f>ROUND(SUM(G50)/100,3)</f>
        <v>4.0000000000000001E-3</v>
      </c>
      <c r="F78" s="47" t="str">
        <f>Table132[[#This Row],[Symbol]]</f>
        <v>Commodities</v>
      </c>
      <c r="G78" s="34">
        <f>SUM(H50)/(G60*C24)</f>
        <v>3.9400677007338843E-3</v>
      </c>
      <c r="H78" s="34"/>
      <c r="I78" s="29"/>
      <c r="J78" s="75"/>
      <c r="K78" s="88"/>
      <c r="L78"/>
      <c r="M78"/>
      <c r="N78"/>
      <c r="O78"/>
      <c r="P78"/>
      <c r="Q78"/>
    </row>
    <row r="79" spans="1:17" ht="14.25" customHeight="1" x14ac:dyDescent="0.25">
      <c r="A79" s="44" t="s">
        <v>35</v>
      </c>
      <c r="B79" s="44"/>
      <c r="C79" s="45"/>
      <c r="D79" s="47" t="str">
        <f>Table132[[#This Row],[Symbol]]</f>
        <v>Crypto</v>
      </c>
      <c r="E79" s="51">
        <f>ROUND(SUM(0)/100,3)</f>
        <v>0</v>
      </c>
      <c r="F79" s="47" t="str">
        <f>Table132[[#This Row],[Symbol]]</f>
        <v>Crypto</v>
      </c>
      <c r="G79" s="51">
        <f>SUM(0)/(G60*C24)</f>
        <v>0</v>
      </c>
      <c r="H79" s="46"/>
      <c r="I79" s="50"/>
      <c r="J79" s="76"/>
      <c r="K79" s="89"/>
      <c r="L79"/>
      <c r="M79"/>
      <c r="N79"/>
      <c r="O79"/>
      <c r="P79"/>
      <c r="Q79"/>
    </row>
    <row r="80" spans="1:17" ht="14.25" customHeight="1" x14ac:dyDescent="0.25">
      <c r="A80" s="34" t="s">
        <v>23</v>
      </c>
      <c r="B80" s="34"/>
      <c r="C80" s="34"/>
      <c r="D80" s="47" t="str">
        <f>Table132[[#This Row],[Symbol]]</f>
        <v>Cash</v>
      </c>
      <c r="E80" s="34">
        <f>1-SUM(E61:E79)</f>
        <v>0</v>
      </c>
      <c r="F80" s="47" t="str">
        <f>Table132[[#This Row],[Symbol]]</f>
        <v>Cash</v>
      </c>
      <c r="G80" s="34">
        <f>1-SUM(G61:G79)</f>
        <v>-4.9762775335082665E-5</v>
      </c>
      <c r="H80" s="34"/>
      <c r="I80" s="27"/>
      <c r="J80" s="68"/>
      <c r="K80" s="82"/>
      <c r="L80"/>
      <c r="M80"/>
      <c r="N80"/>
      <c r="O80"/>
      <c r="P80"/>
      <c r="Q80"/>
    </row>
    <row r="81" spans="1:17" x14ac:dyDescent="0.25">
      <c r="A81" s="25" t="s">
        <v>29</v>
      </c>
      <c r="B81" s="25"/>
      <c r="C81" s="32"/>
      <c r="D81" s="31"/>
      <c r="E81" s="39">
        <f>C24*E80</f>
        <v>0</v>
      </c>
      <c r="F81" s="31"/>
      <c r="G81" s="34">
        <f>C24*G80</f>
        <v>-2721.7258810930907</v>
      </c>
      <c r="H81" s="39"/>
      <c r="I81" s="30"/>
      <c r="J81" s="77"/>
      <c r="K81" s="90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25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5"/>
      <c r="B84" s="25"/>
      <c r="C84" s="32"/>
      <c r="D84" s="25"/>
      <c r="E84" s="25"/>
      <c r="F84" s="31"/>
      <c r="G84" s="34"/>
      <c r="H84" s="39"/>
      <c r="I84" s="27"/>
      <c r="J84" s="68"/>
      <c r="K84" s="82"/>
      <c r="L84"/>
      <c r="M84"/>
      <c r="N84"/>
      <c r="O84"/>
      <c r="P84"/>
      <c r="Q84"/>
    </row>
    <row r="85" spans="1:17" x14ac:dyDescent="0.25">
      <c r="A85" s="20"/>
      <c r="B85" s="5" t="s">
        <v>21</v>
      </c>
      <c r="D85" s="1"/>
      <c r="E85" s="5" t="s">
        <v>20</v>
      </c>
      <c r="F85" s="1"/>
      <c r="G85" s="5"/>
      <c r="H85" s="40" t="s">
        <v>2</v>
      </c>
      <c r="I85" s="4"/>
      <c r="J85" s="78"/>
      <c r="K85" s="91"/>
      <c r="L85"/>
      <c r="M85"/>
      <c r="N85"/>
      <c r="O85"/>
      <c r="P85"/>
      <c r="Q85"/>
    </row>
    <row r="86" spans="1:17" x14ac:dyDescent="0.25">
      <c r="B86" s="5" t="s">
        <v>24</v>
      </c>
      <c r="D86" s="1"/>
      <c r="E86" s="5" t="s">
        <v>24</v>
      </c>
      <c r="F86" s="1"/>
      <c r="G86" s="5"/>
      <c r="H86" s="40" t="s">
        <v>3</v>
      </c>
      <c r="L86"/>
      <c r="M86"/>
      <c r="N86"/>
      <c r="O86"/>
      <c r="P86"/>
      <c r="Q86"/>
    </row>
    <row r="87" spans="1:17" x14ac:dyDescent="0.25">
      <c r="B87" s="3"/>
      <c r="C87"/>
      <c r="D87" s="1"/>
      <c r="E87" s="3"/>
      <c r="F87" s="19"/>
      <c r="G87" s="3"/>
      <c r="H87" s="41"/>
      <c r="L87"/>
      <c r="M87"/>
      <c r="N87"/>
      <c r="O87"/>
      <c r="P87"/>
      <c r="Q87"/>
    </row>
    <row r="88" spans="1:17" x14ac:dyDescent="0.25">
      <c r="C88"/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  <row r="92" spans="1:17" x14ac:dyDescent="0.25">
      <c r="L92"/>
      <c r="M92"/>
      <c r="N92"/>
      <c r="O92"/>
      <c r="P92"/>
      <c r="Q92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2024-04-02T09:45:02Z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