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513" documentId="14_{A48F4B07-3EF3-43E5-91B2-4CA340E6013A}" xr6:coauthVersionLast="47" xr6:coauthVersionMax="47" xr10:uidLastSave="{9612F8A4-5CBC-4C01-9147-6328E988CEC8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" i="3" l="1"/>
  <c r="F44" i="3"/>
  <c r="F64" i="3"/>
  <c r="D64" i="3"/>
  <c r="F29" i="3" l="1"/>
  <c r="H29" i="3"/>
  <c r="F65" i="3" l="1"/>
  <c r="F66" i="3"/>
  <c r="D65" i="3"/>
  <c r="D66" i="3"/>
  <c r="H30" i="3"/>
  <c r="H31" i="3"/>
  <c r="F30" i="3"/>
  <c r="F31" i="3"/>
  <c r="H34" i="3"/>
  <c r="F34" i="3"/>
  <c r="H35" i="3" l="1"/>
  <c r="H36" i="3"/>
  <c r="H37" i="3"/>
  <c r="F35" i="3"/>
  <c r="F36" i="3"/>
  <c r="F37" i="3"/>
  <c r="F51" i="3"/>
  <c r="H51" i="3"/>
  <c r="E75" i="3" l="1"/>
  <c r="E80" i="3" l="1"/>
  <c r="F50" i="3"/>
  <c r="H50" i="3" l="1"/>
  <c r="E77" i="3"/>
  <c r="E74" i="3"/>
  <c r="H28" i="3"/>
  <c r="F28" i="3"/>
  <c r="E62" i="3"/>
  <c r="H32" i="3"/>
  <c r="F32" i="3"/>
  <c r="F45" i="3" l="1"/>
  <c r="H45" i="3"/>
  <c r="E70" i="3" l="1"/>
  <c r="E69" i="3"/>
  <c r="F48" i="3"/>
  <c r="F72" i="3" l="1"/>
  <c r="D72" i="3"/>
  <c r="F58" i="3" l="1"/>
  <c r="H58" i="3"/>
  <c r="H48" i="3" l="1"/>
  <c r="H47" i="3"/>
  <c r="F47" i="3"/>
  <c r="D77" i="3" l="1"/>
  <c r="F77" i="3"/>
  <c r="D63" i="3" l="1"/>
  <c r="D67" i="3"/>
  <c r="D68" i="3"/>
  <c r="D69" i="3"/>
  <c r="D70" i="3"/>
  <c r="D71" i="3"/>
  <c r="D73" i="3"/>
  <c r="D74" i="3"/>
  <c r="D75" i="3"/>
  <c r="D76" i="3"/>
  <c r="D78" i="3"/>
  <c r="D79" i="3"/>
  <c r="D80" i="3"/>
  <c r="D81" i="3"/>
  <c r="F63" i="3"/>
  <c r="H43" i="3"/>
  <c r="F43" i="3"/>
  <c r="F46" i="3"/>
  <c r="H46" i="3"/>
  <c r="F42" i="3" l="1"/>
  <c r="H42" i="3"/>
  <c r="F75" i="3"/>
  <c r="D62" i="3" l="1"/>
  <c r="F71" i="3"/>
  <c r="F69" i="3"/>
  <c r="F68" i="3"/>
  <c r="F67" i="3"/>
  <c r="F62" i="3"/>
  <c r="F74" i="3"/>
  <c r="F70" i="3" l="1"/>
  <c r="F73" i="3"/>
  <c r="F76" i="3"/>
  <c r="F78" i="3"/>
  <c r="F79" i="3"/>
  <c r="F80" i="3"/>
  <c r="F81" i="3"/>
  <c r="H54" i="3" l="1"/>
  <c r="H53" i="3" l="1"/>
  <c r="H55" i="3"/>
  <c r="H56" i="3"/>
  <c r="H57" i="3"/>
  <c r="F53" i="3"/>
  <c r="F54" i="3"/>
  <c r="F55" i="3"/>
  <c r="F56" i="3"/>
  <c r="F57" i="3"/>
  <c r="F38" i="3" l="1"/>
  <c r="F39" i="3"/>
  <c r="F40" i="3"/>
  <c r="F49" i="3"/>
  <c r="F52" i="3"/>
  <c r="H52" i="3"/>
  <c r="H38" i="3" l="1"/>
  <c r="H39" i="3"/>
  <c r="H49" i="3" l="1"/>
  <c r="H33" i="3"/>
  <c r="H41" i="3" l="1"/>
  <c r="H40" i="3"/>
  <c r="C25" i="3" l="1" a="1"/>
  <c r="C25" i="3" s="1"/>
  <c r="K65" i="3" l="1"/>
  <c r="K63" i="3"/>
  <c r="F41" i="3"/>
  <c r="K62" i="3" l="1"/>
  <c r="F33" i="3"/>
  <c r="C24" i="3"/>
  <c r="C11" i="3" l="1"/>
  <c r="G71" i="3"/>
  <c r="G64" i="3"/>
  <c r="C6" i="3"/>
  <c r="C5" i="3"/>
  <c r="C4" i="3"/>
  <c r="G66" i="3"/>
  <c r="G63" i="3"/>
  <c r="G65" i="3"/>
  <c r="G67" i="3"/>
  <c r="C7" i="3"/>
  <c r="C8" i="3"/>
  <c r="G68" i="3"/>
  <c r="G79" i="3"/>
  <c r="G76" i="3"/>
  <c r="C16" i="3"/>
  <c r="G75" i="3"/>
  <c r="C15" i="3"/>
  <c r="C19" i="3"/>
  <c r="G80" i="3"/>
  <c r="G73" i="3"/>
  <c r="C13" i="3"/>
  <c r="C18" i="3"/>
  <c r="G77" i="3"/>
  <c r="G74" i="3"/>
  <c r="C14" i="3"/>
  <c r="G62" i="3"/>
  <c r="C3" i="3"/>
  <c r="C12" i="3"/>
  <c r="C20" i="3"/>
  <c r="C17" i="3"/>
  <c r="G78" i="3"/>
  <c r="C9" i="3"/>
  <c r="G69" i="3"/>
  <c r="C10" i="3"/>
  <c r="G70" i="3"/>
  <c r="G72" i="3"/>
  <c r="C2" i="3"/>
  <c r="G81" i="3" l="1"/>
  <c r="G82" i="3" s="1"/>
  <c r="E61" i="3" l="1"/>
  <c r="G31" i="3" s="1"/>
  <c r="E66" i="3" s="1"/>
  <c r="G44" i="3" l="1"/>
  <c r="G43" i="3"/>
  <c r="G42" i="3"/>
  <c r="G29" i="3"/>
  <c r="E64" i="3" s="1"/>
  <c r="G28" i="3"/>
  <c r="E63" i="3" s="1"/>
  <c r="G51" i="3"/>
  <c r="E79" i="3" s="1"/>
  <c r="G38" i="3"/>
  <c r="G36" i="3"/>
  <c r="G55" i="3"/>
  <c r="G54" i="3"/>
  <c r="G52" i="3"/>
  <c r="G32" i="3"/>
  <c r="G50" i="3"/>
  <c r="E73" i="3" s="1"/>
  <c r="G35" i="3"/>
  <c r="G39" i="3"/>
  <c r="G56" i="3"/>
  <c r="G48" i="3"/>
  <c r="G47" i="3"/>
  <c r="G49" i="3"/>
  <c r="G53" i="3"/>
  <c r="G37" i="3"/>
  <c r="G34" i="3"/>
  <c r="G33" i="3"/>
  <c r="G30" i="3"/>
  <c r="E65" i="3" s="1"/>
  <c r="G41" i="3"/>
  <c r="G58" i="3"/>
  <c r="E78" i="3" s="1"/>
  <c r="G57" i="3"/>
  <c r="G40" i="3"/>
  <c r="G45" i="3"/>
  <c r="G46" i="3"/>
  <c r="E71" i="3" l="1"/>
  <c r="E67" i="3"/>
  <c r="E72" i="3"/>
  <c r="E68" i="3"/>
  <c r="E76" i="3"/>
  <c r="E81" i="3" l="1"/>
  <c r="E82" i="3" s="1"/>
</calcChain>
</file>

<file path=xl/sharedStrings.xml><?xml version="1.0" encoding="utf-8"?>
<sst xmlns="http://schemas.openxmlformats.org/spreadsheetml/2006/main" count="128" uniqueCount="97">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</sst>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1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Sheet1!$D$62:$D$81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Sheet1!$E$62:$E$81</c:f>
              <c:numCache>
                <c:formatCode>General</c:formatCode>
                <c:ptCount val="20"/>
                <c:pt idx="0">
                  <c:v>0</c:v>
                </c:pt>
                <c:pt idx="1">
                  <c:v>2.7E-2</c:v>
                </c:pt>
                <c:pt idx="2">
                  <c:v>2.8000000000000001E-2</c:v>
                </c:pt>
                <c:pt idx="3">
                  <c:v>6.8000000000000005E-2</c:v>
                </c:pt>
                <c:pt idx="4">
                  <c:v>6.6000000000000003E-2</c:v>
                </c:pt>
                <c:pt idx="5">
                  <c:v>0.28000000000000003</c:v>
                </c:pt>
                <c:pt idx="6">
                  <c:v>0.115</c:v>
                </c:pt>
                <c:pt idx="7">
                  <c:v>0</c:v>
                </c:pt>
                <c:pt idx="8">
                  <c:v>0</c:v>
                </c:pt>
                <c:pt idx="9">
                  <c:v>8.6999999999999994E-2</c:v>
                </c:pt>
                <c:pt idx="10">
                  <c:v>7.3999999999999996E-2</c:v>
                </c:pt>
                <c:pt idx="11">
                  <c:v>0.128</c:v>
                </c:pt>
                <c:pt idx="12">
                  <c:v>0</c:v>
                </c:pt>
                <c:pt idx="13">
                  <c:v>0</c:v>
                </c:pt>
                <c:pt idx="14">
                  <c:v>7.2999999999999995E-2</c:v>
                </c:pt>
                <c:pt idx="15">
                  <c:v>0</c:v>
                </c:pt>
                <c:pt idx="16">
                  <c:v>3.2000000000000001E-2</c:v>
                </c:pt>
                <c:pt idx="17">
                  <c:v>4.0000000000000001E-3</c:v>
                </c:pt>
                <c:pt idx="18">
                  <c:v>0</c:v>
                </c:pt>
                <c:pt idx="19">
                  <c:v>1.8000000000000016E-2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B4-4346-BAF7-6C57E15A0B45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3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3E-4F17-803B-CCDCEDB050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Sheet1!$J$62:$J$66</c:f>
              <c:strCache>
                <c:ptCount val="4"/>
                <c:pt idx="0">
                  <c:v> US </c:v>
                </c:pt>
                <c:pt idx="1">
                  <c:v> International </c:v>
                </c:pt>
                <c:pt idx="3">
                  <c:v> Commodity </c:v>
                </c:pt>
              </c:strCache>
            </c:strRef>
          </c:cat>
          <c:val>
            <c:numRef>
              <c:f>Sheet1!$K$62:$K$66</c:f>
              <c:numCache>
                <c:formatCode>0%</c:formatCode>
                <c:ptCount val="5"/>
                <c:pt idx="0">
                  <c:v>0.71232867886128093</c:v>
                </c:pt>
                <c:pt idx="1">
                  <c:v>0.25079470442890184</c:v>
                </c:pt>
                <c:pt idx="3">
                  <c:v>3.687661670981722E-2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5" totalsRowShown="0" headerRowDxfId="13" dataDxfId="11" headerRowBorderDxfId="12" tableBorderDxfId="10" totalsRowBorderDxfId="9">
  <autoFilter ref="A27:I85" xr:uid="{00000000-0009-0000-0100-000001000000}"/>
  <sortState xmlns:xlrd2="http://schemas.microsoft.com/office/spreadsheetml/2017/richdata2" ref="A28:I84">
    <sortCondition ref="A27:A8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3"/>
  <sheetViews>
    <sheetView tabSelected="1" zoomScale="120" zoomScaleNormal="120" workbookViewId="0">
      <selection activeCell="C22" sqref="C2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45385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4.642360095797919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81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0.12774416148206238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0.31940976707749202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0.3142202986690929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1.3231780559963648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85</v>
      </c>
      <c r="B8" s="111"/>
      <c r="C8" s="15">
        <f>SUM(H35:H37)/C24</f>
        <v>0.54356788366743913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SUM(H38:H46)/C24</f>
        <v>0.41191213682803401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64</v>
      </c>
      <c r="B12" s="111"/>
      <c r="C12" s="15">
        <f>SUM(H47:H49)/C24</f>
        <v>0.34945159423047645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72</v>
      </c>
      <c r="B13" s="111"/>
      <c r="C13" s="15">
        <f>SUM(H50)/C24</f>
        <v>0.60443504732431741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SUM(H52:H57)/C24</f>
        <v>0.34338161882843116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SUM(H58)/C24</f>
        <v>0.15277697841943572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53056444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53056444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246307118.45053694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144.19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($)]]/(IF(G82&gt;0, G61,E61)*C24)*100,3)</f>
        <v>2.7</v>
      </c>
      <c r="H28" s="39">
        <f>Table132[[#This Row],[New position]]*Table132[[#This Row],[Last_Price]]</f>
        <v>6777650.9500000002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96.39</v>
      </c>
      <c r="D29" s="34">
        <v>73684</v>
      </c>
      <c r="E29" s="34">
        <v>73684</v>
      </c>
      <c r="F29" s="33">
        <f>Table132[[#This Row],[New position]]-Table132[[#This Row],[Old position]]</f>
        <v>0</v>
      </c>
      <c r="G29" s="34">
        <f>ROUND(Table132[[#This Row],[Target allocation ($)]]/(IF(G82&gt;0, G61,E61)*C24)*100,3)</f>
        <v>2.8290000000000002</v>
      </c>
      <c r="H29" s="39">
        <f>Table132[[#This Row],[New position]]*Table132[[#This Row],[Last_Price]]</f>
        <v>7102400.7599999998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41.66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($)]]/(IF(G82&gt;0, G61,E61)*C24)*100,3)</f>
        <v>6.75</v>
      </c>
      <c r="H30" s="39">
        <f>Table132[[#This Row],[New position]]*Table132[[#This Row],[Last_Price]]</f>
        <v>16946746.419999998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206.36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($)]]/(IF(G82&gt;0, G61,E61)*C24)*100,3)</f>
        <v>6.64</v>
      </c>
      <c r="H31" s="39">
        <f>Table132[[#This Row],[New position]]*Table132[[#This Row],[Last_Price]]</f>
        <v>16671411.680000002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223.39</v>
      </c>
      <c r="D32" s="34">
        <v>181518</v>
      </c>
      <c r="E32" s="34">
        <v>181518</v>
      </c>
      <c r="F32" s="33">
        <f>Table132[[#This Row],[New position]]-Table132[[#This Row],[Old position]]</f>
        <v>0</v>
      </c>
      <c r="G32" s="34">
        <f>ROUND(Table132[[#This Row],[Target allocation ($)]]/(IF(G82&gt;0, G61,E61)*C24)*100,3)</f>
        <v>16.151</v>
      </c>
      <c r="H32" s="39">
        <f>Table132[[#This Row],[New position]]*Table132[[#This Row],[Last_Price]]</f>
        <v>40549306.019999996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66.67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($)]]/(IF(G82&gt;0, G61,E61)*C24)*100,3)</f>
        <v>8.5150000000000006</v>
      </c>
      <c r="H33" s="39">
        <f>Table132[[#This Row],[New position]]*Table132[[#This Row],[Last_Price]]</f>
        <v>21377268.810000002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886.14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($)]]/(IF(G82&gt;0, G61,E61)*C24)*100,3)</f>
        <v>3.2970000000000002</v>
      </c>
      <c r="H34" s="39">
        <f>Table132[[#This Row],[New position]]*Table132[[#This Row],[Last_Price]]</f>
        <v>8276547.5999999996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57.73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($)]]/(IF(G82&gt;0, G61,E61)*C24)*100,3)</f>
        <v>6.1429999999999998</v>
      </c>
      <c r="H35" s="39">
        <f>Table132[[#This Row],[New position]]*Table132[[#This Row],[Last_Price]]</f>
        <v>15421876.739999998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204.17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($)]]/(IF(G82&gt;0, G61,E61)*C24)*100,3)</f>
        <v>4.7350000000000003</v>
      </c>
      <c r="H36" s="39">
        <f>Table132[[#This Row],[New position]]*Table132[[#This Row],[Last_Price]]</f>
        <v>11887594.08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47.87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($)]]/(IF(G82&gt;0, G61,E61)*C24)*100,3)</f>
        <v>0.61</v>
      </c>
      <c r="H37" s="39">
        <f>Table132[[#This Row],[New position]]*Table132[[#This Row],[Last_Price]]</f>
        <v>1530308.16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239.59357541899399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($)]]/(IF(G82&gt;0, G61,E61)*C24)*100,3)</f>
        <v>8.5999999999999993E-2</v>
      </c>
      <c r="H38" s="39">
        <f>Table132[[#This Row],[New position]]*Table132[[#This Row],[Last_Price]]</f>
        <v>215634.2178770946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39.437340153452702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($)]]/(IF(G82&gt;0, G61,E61)*C24)*100,3)</f>
        <v>0.24</v>
      </c>
      <c r="H39" s="39">
        <f>Table132[[#This Row],[New position]]*Table132[[#This Row],[Last_Price]]</f>
        <v>603391.30434782628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8.9961636828644505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($)]]/(IF(G82&gt;0, G61,E61)*C24)*100,3)</f>
        <v>7.9000000000000001E-2</v>
      </c>
      <c r="H40" s="39">
        <f>Table132[[#This Row],[New position]]*Table132[[#This Row],[Last_Price]]</f>
        <v>197915.60102301792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13.2992327365729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($)]]/(IF(G82&gt;0, G61,E61)*C24)*100,3)</f>
        <v>8.3000000000000004E-2</v>
      </c>
      <c r="H41" s="39">
        <f>Table132[[#This Row],[New position]]*Table132[[#This Row],[Last_Price]]</f>
        <v>207468.03069053724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0.91687979539641895</v>
      </c>
      <c r="D42" s="34">
        <v>1684000</v>
      </c>
      <c r="E42" s="34">
        <v>1684000</v>
      </c>
      <c r="F42" s="33">
        <f>Table132[[#This Row],[New position]]-Table132[[#This Row],[Old position]]</f>
        <v>0</v>
      </c>
      <c r="G42" s="34">
        <f>ROUND(Table132[[#This Row],[Target allocation ($)]]/(IF(G82&gt;0, G61,E61)*C24)*100,3)</f>
        <v>0.61499999999999999</v>
      </c>
      <c r="H42" s="39">
        <f>Table132[[#This Row],[New position]]*Table132[[#This Row],[Last_Price]]</f>
        <v>1544025.5754475696</v>
      </c>
      <c r="I42" s="59"/>
      <c r="J42" s="95"/>
      <c r="K42" s="96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2.4526854219948802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($)]]/(IF(G82&gt;0, G61,E61)*C24)*100,3)</f>
        <v>2.5030000000000001</v>
      </c>
      <c r="H43" s="39">
        <f>Table132[[#This Row],[New position]]*Table132[[#This Row],[Last_Price]]</f>
        <v>6283780.0511508826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4">
        <v>7.59</v>
      </c>
      <c r="D44" s="34">
        <v>0</v>
      </c>
      <c r="E44" s="34">
        <v>260000</v>
      </c>
      <c r="F44" s="33">
        <f>ROUND(Table132[[#This Row],[New position]]-Table132[[#This Row],[Old position]], -2)</f>
        <v>260000</v>
      </c>
      <c r="G44" s="34">
        <f>ROUND(Table132[[#This Row],[Target allocation ($)]]/(IF(G82&gt;0, G61,E61)*C24)*100,3)</f>
        <v>0.78600000000000003</v>
      </c>
      <c r="H44" s="39">
        <f>Table132[[#This Row],[New position]]*Table132[[#This Row],[Last_Price]]</f>
        <v>1973400</v>
      </c>
      <c r="I44" s="59"/>
      <c r="J44" s="95" t="s">
        <v>96</v>
      </c>
      <c r="K44" s="95">
        <v>7.62</v>
      </c>
      <c r="L44"/>
      <c r="N44"/>
      <c r="O44"/>
      <c r="P44"/>
      <c r="Q44"/>
    </row>
    <row r="45" spans="1:17" x14ac:dyDescent="0.25">
      <c r="A45" s="34" t="s">
        <v>66</v>
      </c>
      <c r="B45" s="34" t="s">
        <v>14</v>
      </c>
      <c r="C45" s="94">
        <v>43.9</v>
      </c>
      <c r="D45" s="34">
        <v>239592</v>
      </c>
      <c r="E45" s="34">
        <v>239592</v>
      </c>
      <c r="F45" s="33">
        <f>Table132[[#This Row],[New position]]-Table132[[#This Row],[Old position]]</f>
        <v>0</v>
      </c>
      <c r="G45" s="34">
        <f>ROUND(Table132[[#This Row],[Target allocation ($)]]/(IF(G82&gt;0, G61,E61)*C24)*100,3)</f>
        <v>4.1890000000000001</v>
      </c>
      <c r="H45" s="39">
        <f>Table132[[#This Row],[New position]]*Table132[[#This Row],[Last_Price]]</f>
        <v>10518088.799999999</v>
      </c>
      <c r="I45" s="65"/>
      <c r="J45" s="95"/>
      <c r="K45" s="97"/>
      <c r="L45"/>
      <c r="M45"/>
      <c r="N45"/>
      <c r="O45"/>
      <c r="P45"/>
      <c r="Q45"/>
    </row>
    <row r="46" spans="1:17" x14ac:dyDescent="0.25">
      <c r="A46" s="34" t="s">
        <v>53</v>
      </c>
      <c r="B46" s="34" t="s">
        <v>14</v>
      </c>
      <c r="C46" s="46">
        <v>23.64</v>
      </c>
      <c r="D46" s="34">
        <v>13151</v>
      </c>
      <c r="E46" s="34">
        <v>13151</v>
      </c>
      <c r="F46" s="33">
        <f>Table132[[#This Row],[New position]]-Table132[[#This Row],[Old position]]</f>
        <v>0</v>
      </c>
      <c r="G46" s="34">
        <f>ROUND(Table132[[#This Row],[Target allocation ($)]]/(IF(G82&gt;0, G61,E61)*C24)*100,3)</f>
        <v>0.124</v>
      </c>
      <c r="H46" s="39">
        <f>Table132[[#This Row],[New position]]*Table132[[#This Row],[Last_Price]]</f>
        <v>310889.64</v>
      </c>
      <c r="I46" s="59"/>
      <c r="J46" s="97"/>
      <c r="K46" s="97"/>
      <c r="L46"/>
      <c r="M46"/>
      <c r="N46"/>
      <c r="O46"/>
      <c r="P46"/>
      <c r="Q46"/>
    </row>
    <row r="47" spans="1:17" x14ac:dyDescent="0.25">
      <c r="A47" s="44" t="s">
        <v>52</v>
      </c>
      <c r="B47" s="44" t="s">
        <v>14</v>
      </c>
      <c r="C47" s="46">
        <v>69.77</v>
      </c>
      <c r="D47" s="34">
        <v>21678</v>
      </c>
      <c r="E47" s="34">
        <v>21678</v>
      </c>
      <c r="F47" s="33">
        <f>Table132[[#This Row],[New position]]-Table132[[#This Row],[Old position]]</f>
        <v>0</v>
      </c>
      <c r="G47" s="34">
        <f>ROUND(Table132[[#This Row],[Target allocation ($)]]/(IF(G82&gt;0, G61,E61)*C24)*100,3)</f>
        <v>0.60199999999999998</v>
      </c>
      <c r="H47" s="39">
        <f>Table132[[#This Row],[New position]]*Table132[[#This Row],[Last_Price]]</f>
        <v>1512474.0599999998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61</v>
      </c>
      <c r="B48" s="44" t="s">
        <v>14</v>
      </c>
      <c r="C48" s="46">
        <v>32.53</v>
      </c>
      <c r="D48" s="34">
        <v>3400</v>
      </c>
      <c r="E48" s="34">
        <v>3400</v>
      </c>
      <c r="F48" s="33">
        <f>Table132[[#This Row],[New position]]-Table132[[#This Row],[Old position]]</f>
        <v>0</v>
      </c>
      <c r="G48" s="34">
        <f>ROUND(Table132[[#This Row],[Target allocation ($)]]/(IF(G82&gt;0, G61,E61)*C24)*100,3)</f>
        <v>4.3999999999999997E-2</v>
      </c>
      <c r="H48" s="39">
        <f>Table132[[#This Row],[New position]]*Table132[[#This Row],[Last_Price]]</f>
        <v>110602</v>
      </c>
      <c r="I48" s="61"/>
      <c r="J48" s="97"/>
      <c r="K48" s="97"/>
      <c r="L48"/>
      <c r="M48"/>
      <c r="N48"/>
      <c r="O48"/>
      <c r="P48"/>
      <c r="Q48"/>
    </row>
    <row r="49" spans="1:17" x14ac:dyDescent="0.25">
      <c r="A49" s="44" t="s">
        <v>62</v>
      </c>
      <c r="B49" s="34" t="s">
        <v>14</v>
      </c>
      <c r="C49" s="46">
        <v>106.64</v>
      </c>
      <c r="D49" s="34">
        <v>158642</v>
      </c>
      <c r="E49" s="34">
        <v>158642</v>
      </c>
      <c r="F49" s="33">
        <f>Table132[[#This Row],[New position]]-Table132[[#This Row],[Old position]]</f>
        <v>0</v>
      </c>
      <c r="G49" s="34">
        <f>ROUND(Table132[[#This Row],[Target allocation ($)]]/(IF(G82&gt;0, G61,E61)*C24)*100,3)</f>
        <v>6.7380000000000004</v>
      </c>
      <c r="H49" s="39">
        <f>Table132[[#This Row],[New position]]*Table132[[#This Row],[Last_Price]]</f>
        <v>16917582.879999999</v>
      </c>
      <c r="I49" s="49"/>
      <c r="J49" s="95"/>
      <c r="K49" s="97"/>
      <c r="L49"/>
      <c r="M49"/>
      <c r="N49"/>
      <c r="O49"/>
      <c r="P49"/>
      <c r="Q49"/>
    </row>
    <row r="50" spans="1:17" x14ac:dyDescent="0.25">
      <c r="A50" s="44" t="s">
        <v>11</v>
      </c>
      <c r="B50" s="34" t="s">
        <v>14</v>
      </c>
      <c r="C50" s="46">
        <v>439.84</v>
      </c>
      <c r="D50" s="34">
        <v>72911</v>
      </c>
      <c r="E50" s="34">
        <v>72911</v>
      </c>
      <c r="F50" s="33">
        <f>Table132[[#This Row],[New position]]-Table132[[#This Row],[Old position]]</f>
        <v>0</v>
      </c>
      <c r="G50" s="34">
        <f>ROUND(Table132[[#This Row],[Target allocation ($)]]/(IF(G82&gt;0, G61,E61)*C24)*100,3)</f>
        <v>12.773</v>
      </c>
      <c r="H50" s="39">
        <f>Table132[[#This Row],[New position]]*Table132[[#This Row],[Last_Price]]</f>
        <v>32069174.239999998</v>
      </c>
      <c r="I50" s="99"/>
      <c r="J50" s="95"/>
      <c r="K50" s="97"/>
      <c r="L50"/>
      <c r="M50"/>
      <c r="N50"/>
      <c r="O50"/>
      <c r="P50"/>
      <c r="Q50"/>
    </row>
    <row r="51" spans="1:17" x14ac:dyDescent="0.25">
      <c r="A51" s="44" t="s">
        <v>31</v>
      </c>
      <c r="B51" s="34" t="s">
        <v>14</v>
      </c>
      <c r="C51" s="46">
        <v>52.82</v>
      </c>
      <c r="D51" s="34">
        <v>18500</v>
      </c>
      <c r="E51" s="34">
        <v>18500</v>
      </c>
      <c r="F51" s="33">
        <f>Table132[[#This Row],[New position]]-Table132[[#This Row],[Old position]]</f>
        <v>0</v>
      </c>
      <c r="G51" s="34">
        <f>ROUND(Table132[[#This Row],[Target allocation ($)]]/(IF(G82&gt;0, G61,E61)*C24)*100,3)</f>
        <v>0.38900000000000001</v>
      </c>
      <c r="H51" s="39">
        <f>Table132[[#This Row],[New position]]*Table132[[#This Row],[Last_Price]]</f>
        <v>977170</v>
      </c>
      <c r="I51" s="100"/>
      <c r="J51" s="95"/>
      <c r="K51" s="97"/>
      <c r="L51"/>
      <c r="M51"/>
      <c r="N51"/>
      <c r="O51"/>
      <c r="P51"/>
      <c r="Q51"/>
    </row>
    <row r="52" spans="1:17" x14ac:dyDescent="0.25">
      <c r="A52" s="44" t="s">
        <v>32</v>
      </c>
      <c r="B52" s="44" t="s">
        <v>14</v>
      </c>
      <c r="C52" s="46">
        <v>79.59</v>
      </c>
      <c r="D52" s="34">
        <v>36312</v>
      </c>
      <c r="E52" s="34">
        <v>36312</v>
      </c>
      <c r="F52" s="33">
        <f>Table132[[#This Row],[New position]]-Table132[[#This Row],[Old position]]</f>
        <v>0</v>
      </c>
      <c r="G52" s="34">
        <f>ROUND(Table132[[#This Row],[Target allocation ($)]]/(IF(G82&gt;0, G61,E61)*C24)*100,3)</f>
        <v>1.151</v>
      </c>
      <c r="H52" s="39">
        <f>Table132[[#This Row],[New position]]*Table132[[#This Row],[Last_Price]]</f>
        <v>2890072.08</v>
      </c>
      <c r="I52" s="26"/>
      <c r="J52" s="97"/>
      <c r="K52" s="97"/>
      <c r="L52" s="42"/>
      <c r="M52"/>
      <c r="N52"/>
      <c r="O52"/>
      <c r="P52"/>
      <c r="Q52"/>
    </row>
    <row r="53" spans="1:17" x14ac:dyDescent="0.25">
      <c r="A53" s="44" t="s">
        <v>33</v>
      </c>
      <c r="B53" s="44" t="s">
        <v>14</v>
      </c>
      <c r="C53" s="46">
        <v>72.2</v>
      </c>
      <c r="D53" s="34">
        <v>38350</v>
      </c>
      <c r="E53" s="34">
        <v>38350</v>
      </c>
      <c r="F53" s="33">
        <f>Table132[[#This Row],[New position]]-Table132[[#This Row],[Old position]]</f>
        <v>0</v>
      </c>
      <c r="G53" s="34">
        <f>ROUND(Table132[[#This Row],[Target allocation ($)]]/(IF(G82&gt;0, G61,E61)*C24)*100,3)</f>
        <v>1.103</v>
      </c>
      <c r="H53" s="39">
        <f>Table132[[#This Row],[New position]]*Table132[[#This Row],[Last_Price]]</f>
        <v>2768870</v>
      </c>
      <c r="I53" s="26"/>
      <c r="J53" s="97"/>
      <c r="K53" s="97"/>
      <c r="L53"/>
      <c r="M53"/>
      <c r="N53"/>
      <c r="O53"/>
      <c r="P53"/>
      <c r="Q53"/>
    </row>
    <row r="54" spans="1:17" x14ac:dyDescent="0.25">
      <c r="A54" s="44" t="s">
        <v>40</v>
      </c>
      <c r="B54" s="44" t="s">
        <v>14</v>
      </c>
      <c r="C54" s="46">
        <v>91.73</v>
      </c>
      <c r="D54" s="34">
        <v>63975</v>
      </c>
      <c r="E54" s="34">
        <v>63975</v>
      </c>
      <c r="F54" s="33">
        <f>Table132[[#This Row],[New position]]-Table132[[#This Row],[Old position]]</f>
        <v>0</v>
      </c>
      <c r="G54" s="34">
        <f>ROUND(Table132[[#This Row],[Target allocation ($)]]/(IF(G82&gt;0, G61,E61)*C24)*100,3)</f>
        <v>2.3370000000000002</v>
      </c>
      <c r="H54" s="39">
        <f>Table132[[#This Row],[New position]]*Table132[[#This Row],[Last_Price]]</f>
        <v>5868426.75</v>
      </c>
      <c r="I54" s="26"/>
      <c r="J54" s="95"/>
      <c r="K54" s="97"/>
      <c r="L54"/>
      <c r="M54"/>
      <c r="N54"/>
      <c r="O54"/>
      <c r="P54"/>
      <c r="Q54"/>
    </row>
    <row r="55" spans="1:17" x14ac:dyDescent="0.25">
      <c r="A55" s="44" t="s">
        <v>43</v>
      </c>
      <c r="B55" s="44" t="s">
        <v>14</v>
      </c>
      <c r="C55" s="46">
        <v>107.31</v>
      </c>
      <c r="D55" s="34">
        <v>26725</v>
      </c>
      <c r="E55" s="34">
        <v>26725</v>
      </c>
      <c r="F55" s="33">
        <f>Table132[[#This Row],[New position]]-Table132[[#This Row],[Old position]]</f>
        <v>0</v>
      </c>
      <c r="G55" s="34">
        <f>ROUND(Table132[[#This Row],[Target allocation ($)]]/(IF(G82&gt;0, G61,E61)*C24)*100,3)</f>
        <v>1.1419999999999999</v>
      </c>
      <c r="H55" s="39">
        <f>Table132[[#This Row],[New position]]*Table132[[#This Row],[Last_Price]]</f>
        <v>2867859.75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48</v>
      </c>
      <c r="B56" s="44" t="s">
        <v>14</v>
      </c>
      <c r="C56" s="46">
        <v>36.159999999999997</v>
      </c>
      <c r="D56" s="34">
        <v>78324</v>
      </c>
      <c r="E56" s="34">
        <v>78324</v>
      </c>
      <c r="F56" s="33">
        <f>Table132[[#This Row],[New position]]-Table132[[#This Row],[Old position]]</f>
        <v>0</v>
      </c>
      <c r="G56" s="34">
        <f>ROUND(Table132[[#This Row],[Target allocation ($)]]/(IF(G82&gt;0, G61,E61)*C24)*100,3)</f>
        <v>1.1279999999999999</v>
      </c>
      <c r="H56" s="39">
        <f>Table132[[#This Row],[New position]]*Table132[[#This Row],[Last_Price]]</f>
        <v>2832195.84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65</v>
      </c>
      <c r="B57" s="44" t="s">
        <v>14</v>
      </c>
      <c r="C57" s="46">
        <v>47.17</v>
      </c>
      <c r="D57" s="34">
        <v>21013</v>
      </c>
      <c r="E57" s="34">
        <v>21013</v>
      </c>
      <c r="F57" s="33">
        <f>Table132[[#This Row],[New position]]-Table132[[#This Row],[Old position]]</f>
        <v>0</v>
      </c>
      <c r="G57" s="34">
        <f>ROUND(Table132[[#This Row],[Target allocation ($)]]/(IF(G82&gt;0, G61,E61)*C24)*100,3)</f>
        <v>0.39500000000000002</v>
      </c>
      <c r="H57" s="39">
        <f>Table132[[#This Row],[New position]]*Table132[[#This Row],[Last_Price]]</f>
        <v>991183.21000000008</v>
      </c>
      <c r="I57" s="53"/>
      <c r="J57" s="97"/>
      <c r="K57" s="97"/>
      <c r="L57"/>
      <c r="M57"/>
      <c r="N57"/>
      <c r="O57"/>
      <c r="P57"/>
      <c r="Q57"/>
    </row>
    <row r="58" spans="1:17" x14ac:dyDescent="0.25">
      <c r="A58" s="44" t="s">
        <v>44</v>
      </c>
      <c r="B58" s="44" t="s">
        <v>14</v>
      </c>
      <c r="C58" s="46">
        <v>210.3</v>
      </c>
      <c r="D58" s="34">
        <v>38544</v>
      </c>
      <c r="E58" s="34">
        <v>38544</v>
      </c>
      <c r="F58" s="33">
        <f>Table132[[#This Row],[New position]]-Table132[[#This Row],[Old position]]</f>
        <v>0</v>
      </c>
      <c r="G58" s="34">
        <f>ROUND(Table132[[#This Row],[Target allocation ($)]]/(IF(G82&gt;0, G61,E61)*C24)*100,3)</f>
        <v>3.2290000000000001</v>
      </c>
      <c r="H58" s="39">
        <f>Table132[[#This Row],[New position]]*Table132[[#This Row],[Last_Price]]</f>
        <v>8105803.2000000002</v>
      </c>
      <c r="I58" s="62"/>
      <c r="J58" s="97"/>
      <c r="K58" s="97"/>
      <c r="L58"/>
      <c r="M58"/>
      <c r="N58"/>
      <c r="O58"/>
      <c r="P58"/>
      <c r="Q58"/>
    </row>
    <row r="59" spans="1:17" x14ac:dyDescent="0.25">
      <c r="A59" s="44"/>
      <c r="B59" s="44"/>
      <c r="C59" s="46"/>
      <c r="D59" s="34"/>
      <c r="E59" s="34"/>
      <c r="F59" s="31"/>
      <c r="G59" s="34"/>
      <c r="H59" s="46"/>
      <c r="I59" s="48"/>
      <c r="J59" s="69"/>
      <c r="K59" s="83"/>
      <c r="L59"/>
      <c r="M59"/>
      <c r="N59"/>
      <c r="O59"/>
      <c r="P59"/>
      <c r="Q59"/>
    </row>
    <row r="60" spans="1:17" x14ac:dyDescent="0.25">
      <c r="A60" s="44"/>
      <c r="B60" s="44"/>
      <c r="C60" s="45"/>
      <c r="D60" s="35"/>
      <c r="E60" s="54" t="s">
        <v>41</v>
      </c>
      <c r="F60" s="31"/>
      <c r="G60" s="55" t="s">
        <v>42</v>
      </c>
      <c r="H60" s="46"/>
      <c r="I60" s="48"/>
      <c r="J60" s="69"/>
      <c r="K60" s="83"/>
      <c r="L60"/>
      <c r="M60"/>
      <c r="N60"/>
      <c r="O60"/>
      <c r="P60"/>
      <c r="Q60"/>
    </row>
    <row r="61" spans="1:17" ht="30" x14ac:dyDescent="0.25">
      <c r="A61" s="44" t="s">
        <v>30</v>
      </c>
      <c r="B61" s="44"/>
      <c r="C61" s="45"/>
      <c r="D61" s="35"/>
      <c r="E61" s="34">
        <f xml:space="preserve"> IF(G82&gt;0, (C25+ABS(G82*G61))/C21, C25/C21)</f>
        <v>4.7320000000000011</v>
      </c>
      <c r="F61" s="31"/>
      <c r="G61" s="34">
        <v>4.7320000000000002</v>
      </c>
      <c r="H61" s="46"/>
      <c r="I61" s="48"/>
      <c r="J61" s="101" t="s">
        <v>73</v>
      </c>
      <c r="K61" s="82" t="s">
        <v>74</v>
      </c>
      <c r="L61"/>
      <c r="M61"/>
      <c r="N61"/>
      <c r="O61"/>
      <c r="P61"/>
      <c r="Q61"/>
    </row>
    <row r="62" spans="1:17" ht="15" customHeight="1" x14ac:dyDescent="0.25">
      <c r="A62" s="34" t="s">
        <v>34</v>
      </c>
      <c r="B62" s="34"/>
      <c r="C62" s="34"/>
      <c r="D62" s="47" t="str">
        <f>Table132[[#This Row],[Symbol]]</f>
        <v>SingleStocks</v>
      </c>
      <c r="E62" s="34">
        <f>ROUND(SUM(0)/100, 3)</f>
        <v>0</v>
      </c>
      <c r="F62" s="47" t="str">
        <f>Table132[[#This Row],[Symbol]]</f>
        <v>SingleStocks</v>
      </c>
      <c r="G62" s="34">
        <f>SUM(0)/(G61*C24)</f>
        <v>0</v>
      </c>
      <c r="H62" s="34"/>
      <c r="I62" s="94"/>
      <c r="J62" s="68" t="s">
        <v>75</v>
      </c>
      <c r="K62" s="104">
        <f>1-SUM(K63:K65)</f>
        <v>0.71232867886128093</v>
      </c>
      <c r="L62"/>
      <c r="M62"/>
      <c r="N62"/>
      <c r="O62"/>
      <c r="P62"/>
      <c r="Q62"/>
    </row>
    <row r="63" spans="1:17" ht="15" customHeight="1" x14ac:dyDescent="0.25">
      <c r="A63" s="44" t="s">
        <v>56</v>
      </c>
      <c r="B63" s="44"/>
      <c r="C63" s="45"/>
      <c r="D63" s="47" t="str">
        <f>Table132[[#This Row],[Symbol]]</f>
        <v>Healthcare</v>
      </c>
      <c r="E63" s="34">
        <f>ROUND(SUM(G28:G28)/100, 3)</f>
        <v>2.7E-2</v>
      </c>
      <c r="F63" s="47" t="str">
        <f>Table132[[#This Row],[Symbol]]</f>
        <v>Healthcare</v>
      </c>
      <c r="G63" s="34">
        <f>SUM(H28:H28)/(G61*C24)</f>
        <v>2.6995807582853418E-2</v>
      </c>
      <c r="H63" s="46"/>
      <c r="I63" s="94"/>
      <c r="J63" s="68" t="s">
        <v>76</v>
      </c>
      <c r="K63" s="102">
        <f>(SUM(H38:H49)+H33)/C25</f>
        <v>0.25079470442890184</v>
      </c>
      <c r="L63"/>
      <c r="M63"/>
      <c r="N63"/>
      <c r="O63"/>
      <c r="P63"/>
      <c r="Q63"/>
    </row>
    <row r="64" spans="1:17" ht="15" customHeight="1" x14ac:dyDescent="0.25">
      <c r="A64" s="44" t="s">
        <v>95</v>
      </c>
      <c r="B64" s="44"/>
      <c r="C64" s="45"/>
      <c r="D64" s="47" t="str">
        <f>Table132[[#This Row],[Symbol]]</f>
        <v>Energy</v>
      </c>
      <c r="E64" s="34">
        <f>ROUND(SUM(G29:G29)/100, 3)</f>
        <v>2.8000000000000001E-2</v>
      </c>
      <c r="F64" s="47" t="str">
        <f>Table132[[#This Row],[Symbol]]</f>
        <v>Energy</v>
      </c>
      <c r="G64" s="34">
        <f>SUM(H29:H29)/(G61*C24)</f>
        <v>2.8289306384724915E-2</v>
      </c>
      <c r="H64" s="46"/>
      <c r="I64" s="107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89</v>
      </c>
      <c r="B65" s="44"/>
      <c r="C65" s="45"/>
      <c r="D65" s="47" t="str">
        <f>Table132[[#This Row],[Symbol]]</f>
        <v>Financials</v>
      </c>
      <c r="E65" s="34">
        <f>ROUND(SUM(G30:G30)/100, 3)</f>
        <v>6.8000000000000005E-2</v>
      </c>
      <c r="F65" s="47" t="str">
        <f>Table132[[#This Row],[Symbol]]</f>
        <v>Financials</v>
      </c>
      <c r="G65" s="51">
        <f>SUM(H30:H30)/(G61*C24)</f>
        <v>6.7499950777153844E-2</v>
      </c>
      <c r="H65" s="46"/>
      <c r="I65" s="94"/>
      <c r="J65" s="68" t="s">
        <v>77</v>
      </c>
      <c r="K65" s="103">
        <f>(H58+H51)/C25</f>
        <v>3.687661670981722E-2</v>
      </c>
      <c r="L65"/>
      <c r="M65"/>
      <c r="N65"/>
      <c r="O65"/>
      <c r="P65"/>
      <c r="Q65"/>
    </row>
    <row r="66" spans="1:17" ht="15" customHeight="1" x14ac:dyDescent="0.25">
      <c r="A66" s="44" t="s">
        <v>90</v>
      </c>
      <c r="B66" s="44"/>
      <c r="C66" s="45"/>
      <c r="D66" s="47" t="str">
        <f>Table132[[#This Row],[Symbol]]</f>
        <v>Techs</v>
      </c>
      <c r="E66" s="51">
        <f>ROUND(SUM(G31:G31)/100, 3)</f>
        <v>6.6000000000000003E-2</v>
      </c>
      <c r="F66" s="47" t="str">
        <f>Table132[[#This Row],[Symbol]]</f>
        <v>Techs</v>
      </c>
      <c r="G66" s="34">
        <f>SUM(H31:H31)/(G61*C24)</f>
        <v>6.6403275289326477E-2</v>
      </c>
      <c r="H66" s="46"/>
      <c r="I66" s="106"/>
      <c r="J66" s="68"/>
      <c r="K66" s="102"/>
      <c r="L66"/>
      <c r="M66"/>
      <c r="N66"/>
      <c r="O66"/>
      <c r="P66"/>
      <c r="Q66"/>
    </row>
    <row r="67" spans="1:17" ht="15" customHeight="1" x14ac:dyDescent="0.25">
      <c r="A67" s="44" t="s">
        <v>50</v>
      </c>
      <c r="B67" s="44"/>
      <c r="C67" s="45"/>
      <c r="D67" s="47" t="str">
        <f>Table132[[#This Row],[Symbol]]</f>
        <v>Semiconductor</v>
      </c>
      <c r="E67" s="34">
        <f>ROUND(SUM(G32:G34)/100, 3)</f>
        <v>0.28000000000000003</v>
      </c>
      <c r="F67" s="47" t="str">
        <f>Table132[[#This Row],[Symbol]]</f>
        <v>Semiconductor</v>
      </c>
      <c r="G67" s="51">
        <f>SUM(H32:H34)/(G61*C24)</f>
        <v>0.27962342688004327</v>
      </c>
      <c r="H67" s="46"/>
      <c r="I67" s="94"/>
      <c r="K67" s="84"/>
      <c r="L67"/>
      <c r="M67"/>
      <c r="N67"/>
      <c r="O67"/>
      <c r="P67"/>
      <c r="Q67"/>
    </row>
    <row r="68" spans="1:17" ht="15.75" customHeight="1" x14ac:dyDescent="0.25">
      <c r="A68" s="44" t="s">
        <v>93</v>
      </c>
      <c r="B68" s="44"/>
      <c r="C68" s="45"/>
      <c r="D68" s="47" t="str">
        <f>Table132[[#This Row],[Symbol]]</f>
        <v>Russell</v>
      </c>
      <c r="E68" s="51">
        <f>ROUND(SUM(G35:G37)/100, 3)</f>
        <v>0.115</v>
      </c>
      <c r="F68" s="47" t="str">
        <f>Table132[[#This Row],[Symbol]]</f>
        <v>Russell</v>
      </c>
      <c r="G68" s="51">
        <f>SUM(H35:H37)/(G61*C24)</f>
        <v>0.11487064320951799</v>
      </c>
      <c r="H68" s="46"/>
      <c r="I68" s="94"/>
      <c r="J68" s="70"/>
      <c r="K68" s="84"/>
      <c r="L68"/>
      <c r="M68"/>
      <c r="N68"/>
      <c r="O68"/>
      <c r="P68"/>
      <c r="Q68"/>
    </row>
    <row r="69" spans="1:17" ht="15.75" customHeight="1" x14ac:dyDescent="0.25">
      <c r="A69" s="44" t="s">
        <v>45</v>
      </c>
      <c r="B69" s="44"/>
      <c r="C69" s="45"/>
      <c r="D69" s="47" t="str">
        <f>Table132[[#This Row],[Symbol]]</f>
        <v>S&amp;P</v>
      </c>
      <c r="E69" s="34">
        <f>ROUND(0/100, 3)</f>
        <v>0</v>
      </c>
      <c r="F69" s="47" t="str">
        <f>Table132[[#This Row],[Symbol]]</f>
        <v>S&amp;P</v>
      </c>
      <c r="G69" s="34">
        <f>SUM(0)/(G61*C24)</f>
        <v>0</v>
      </c>
      <c r="H69" s="46"/>
      <c r="I69" s="94"/>
      <c r="J69" s="70"/>
      <c r="K69" s="84"/>
      <c r="L69"/>
      <c r="M69"/>
      <c r="N69"/>
      <c r="O69"/>
      <c r="P69"/>
      <c r="Q69"/>
    </row>
    <row r="70" spans="1:17" ht="15.75" customHeight="1" x14ac:dyDescent="0.25">
      <c r="A70" s="44" t="s">
        <v>46</v>
      </c>
      <c r="B70" s="44"/>
      <c r="C70" s="45"/>
      <c r="D70" s="47" t="str">
        <f>Table132[[#This Row],[Symbol]]</f>
        <v>Dow Jones</v>
      </c>
      <c r="E70" s="34">
        <f>ROUND(0/100, 3)</f>
        <v>0</v>
      </c>
      <c r="F70" s="47" t="str">
        <f>Table132[[#This Row],[Symbol]]</f>
        <v>Dow Jones</v>
      </c>
      <c r="G70" s="51">
        <f>SUM(0)/(G61*C24)</f>
        <v>0</v>
      </c>
      <c r="H70" s="46"/>
      <c r="I70" s="52"/>
      <c r="J70" s="70"/>
      <c r="K70" s="84"/>
      <c r="L70"/>
      <c r="M70"/>
      <c r="N70"/>
      <c r="O70"/>
      <c r="P70"/>
      <c r="Q70"/>
    </row>
    <row r="71" spans="1:17" ht="14.25" customHeight="1" x14ac:dyDescent="0.25">
      <c r="A71" s="44" t="s">
        <v>49</v>
      </c>
      <c r="B71" s="44"/>
      <c r="C71" s="45"/>
      <c r="D71" s="47" t="str">
        <f>Table132[[#This Row],[Symbol]]</f>
        <v>Int Stocks</v>
      </c>
      <c r="E71" s="34">
        <f>ROUND(SUM(G38:G46)/100, 3)</f>
        <v>8.6999999999999994E-2</v>
      </c>
      <c r="F71" s="47" t="str">
        <f>Table132[[#This Row],[Symbol]]</f>
        <v>Int Stocks</v>
      </c>
      <c r="G71" s="39">
        <f>SUM(H38:H46)/(G61*C24)</f>
        <v>8.7048211502120457E-2</v>
      </c>
      <c r="H71" s="46"/>
      <c r="I71" s="46"/>
      <c r="J71" s="70"/>
      <c r="K71" s="84"/>
      <c r="L71"/>
      <c r="M71"/>
      <c r="N71"/>
      <c r="O71"/>
      <c r="P71"/>
      <c r="Q71"/>
    </row>
    <row r="72" spans="1:17" ht="14.25" customHeight="1" x14ac:dyDescent="0.25">
      <c r="A72" s="44" t="s">
        <v>63</v>
      </c>
      <c r="B72" s="44"/>
      <c r="C72" s="45"/>
      <c r="D72" s="47" t="str">
        <f>Table132[[#This Row],[Symbol]]</f>
        <v>JP Stocks</v>
      </c>
      <c r="E72" s="34">
        <f>ROUND(SUM(G47:G49)/100, 3)</f>
        <v>7.3999999999999996E-2</v>
      </c>
      <c r="F72" s="47" t="str">
        <f>Table132[[#This Row],[Symbol]]</f>
        <v>JP Stocks</v>
      </c>
      <c r="G72" s="51">
        <f>SUM(H47:H49)/(G61*C24)</f>
        <v>7.384860402165605E-2</v>
      </c>
      <c r="H72" s="46"/>
      <c r="I72" s="63"/>
      <c r="J72" s="72"/>
      <c r="K72" s="86"/>
      <c r="L72"/>
      <c r="M72"/>
      <c r="N72"/>
      <c r="O72"/>
      <c r="P72"/>
      <c r="Q72"/>
    </row>
    <row r="73" spans="1:17" ht="15.75" customHeight="1" x14ac:dyDescent="0.25">
      <c r="A73" s="44" t="s">
        <v>71</v>
      </c>
      <c r="B73" s="44"/>
      <c r="C73" s="45"/>
      <c r="D73" s="47" t="str">
        <f>Table132[[#This Row],[Symbol]]</f>
        <v>Nasdaq</v>
      </c>
      <c r="E73" s="51">
        <f>ROUND(SUM(G50)/100, 3)</f>
        <v>0.128</v>
      </c>
      <c r="F73" s="47" t="str">
        <f>Table132[[#This Row],[Symbol]]</f>
        <v>Nasdaq</v>
      </c>
      <c r="G73" s="51">
        <f>SUM(H50)/(G61*C24)</f>
        <v>0.12773352648442887</v>
      </c>
      <c r="H73" s="46"/>
      <c r="I73" s="27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58" t="s">
        <v>51</v>
      </c>
      <c r="B74" s="44"/>
      <c r="C74" s="45"/>
      <c r="D74" s="47" t="str">
        <f>Table132[[#This Row],[Symbol]]</f>
        <v>Regional Bank</v>
      </c>
      <c r="E74" s="51">
        <f>ROUND(SUM(0)/100, 3)</f>
        <v>0</v>
      </c>
      <c r="F74" s="47" t="str">
        <f>Table132[[#This Row],[Symbol]]</f>
        <v>Regional Bank</v>
      </c>
      <c r="G74" s="34">
        <f>SUM(0)/(G61*C24)</f>
        <v>0</v>
      </c>
      <c r="H74" s="46"/>
      <c r="I74" s="27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54</v>
      </c>
      <c r="B75" s="44"/>
      <c r="C75" s="45"/>
      <c r="D75" s="47" t="str">
        <f>Table132[[#This Row],[Symbol]]</f>
        <v>Short</v>
      </c>
      <c r="E75" s="34">
        <f>ROUND(SUM(0)/100, 3)</f>
        <v>0</v>
      </c>
      <c r="F75" s="47" t="str">
        <f>Table132[[#This Row],[Symbol]]</f>
        <v>Short</v>
      </c>
      <c r="G75" s="51">
        <f>SUM(0)/(G61*C24)</f>
        <v>0</v>
      </c>
      <c r="H75" s="46"/>
      <c r="I75" s="59"/>
      <c r="J75" s="71"/>
      <c r="K75" s="85"/>
      <c r="L75"/>
      <c r="M75"/>
      <c r="N75"/>
      <c r="O75"/>
      <c r="P75"/>
      <c r="Q75"/>
    </row>
    <row r="76" spans="1:17" ht="14.25" customHeight="1" x14ac:dyDescent="0.25">
      <c r="A76" s="34" t="s">
        <v>27</v>
      </c>
      <c r="B76" s="44"/>
      <c r="C76" s="45"/>
      <c r="D76" s="47" t="str">
        <f>Table132[[#This Row],[Symbol]]</f>
        <v>Bonds</v>
      </c>
      <c r="E76" s="34">
        <f>ROUND((SUM(G52:G57))/100, 3)</f>
        <v>7.2999999999999995E-2</v>
      </c>
      <c r="F76" s="47" t="str">
        <f>Table132[[#This Row],[Symbol]]</f>
        <v>Bonds</v>
      </c>
      <c r="G76" s="51">
        <f>(SUM(H52:H57))/(G61*C24)</f>
        <v>7.25658535140387E-2</v>
      </c>
      <c r="H76" s="46"/>
      <c r="I76" s="27"/>
      <c r="J76" s="68"/>
      <c r="K76" s="82"/>
      <c r="L76"/>
      <c r="M76"/>
      <c r="N76"/>
      <c r="O76"/>
      <c r="P76"/>
      <c r="Q76"/>
    </row>
    <row r="77" spans="1:17" ht="14.25" customHeight="1" x14ac:dyDescent="0.25">
      <c r="A77" s="44" t="s">
        <v>58</v>
      </c>
      <c r="B77" s="44"/>
      <c r="C77" s="45"/>
      <c r="D77" s="47" t="str">
        <f>Table132[[#This Row],[Symbol]]</f>
        <v>Core</v>
      </c>
      <c r="E77" s="34">
        <f>ROUND((SUM(0))/100, 3)</f>
        <v>0</v>
      </c>
      <c r="F77" s="47" t="str">
        <f>Table132[[#This Row],[Symbol]]</f>
        <v>Core</v>
      </c>
      <c r="G77" s="34">
        <f>(SUM(0))/(G61*C24)</f>
        <v>0</v>
      </c>
      <c r="H77" s="46"/>
      <c r="I77" s="60"/>
      <c r="J77" s="73"/>
      <c r="K77" s="87"/>
      <c r="L77"/>
      <c r="M77"/>
      <c r="N77"/>
      <c r="O77"/>
      <c r="P77"/>
      <c r="Q77"/>
    </row>
    <row r="78" spans="1:17" ht="14.25" customHeight="1" x14ac:dyDescent="0.25">
      <c r="A78" s="44" t="s">
        <v>36</v>
      </c>
      <c r="B78" s="34"/>
      <c r="C78" s="34"/>
      <c r="D78" s="47" t="str">
        <f>Table132[[#This Row],[Symbol]]</f>
        <v>Gold</v>
      </c>
      <c r="E78" s="34">
        <f>ROUND(SUM(G58)/100,3)</f>
        <v>3.2000000000000001E-2</v>
      </c>
      <c r="F78" s="47" t="str">
        <f>Table132[[#This Row],[Symbol]]</f>
        <v>Gold</v>
      </c>
      <c r="G78" s="51">
        <f>SUM(H58)/(G61*C24)</f>
        <v>3.2285921052289883E-2</v>
      </c>
      <c r="H78" s="34"/>
      <c r="I78" s="28"/>
      <c r="J78" s="74"/>
      <c r="K78" s="81"/>
      <c r="L78"/>
      <c r="M78"/>
      <c r="N78"/>
      <c r="O78"/>
      <c r="P78"/>
      <c r="Q78"/>
    </row>
    <row r="79" spans="1:17" ht="15" customHeight="1" x14ac:dyDescent="0.25">
      <c r="A79" s="34" t="s">
        <v>28</v>
      </c>
      <c r="B79" s="34"/>
      <c r="C79" s="34"/>
      <c r="D79" s="47" t="str">
        <f>Table132[[#This Row],[Symbol]]</f>
        <v>Commodities</v>
      </c>
      <c r="E79" s="34">
        <f>ROUND(SUM(G51)/100,3)</f>
        <v>4.0000000000000001E-3</v>
      </c>
      <c r="F79" s="47" t="str">
        <f>Table132[[#This Row],[Symbol]]</f>
        <v>Commodities</v>
      </c>
      <c r="G79" s="34">
        <f>SUM(H51)/(G61*C24)</f>
        <v>3.8921292185660396E-3</v>
      </c>
      <c r="H79" s="34"/>
      <c r="I79" s="29"/>
      <c r="J79" s="75"/>
      <c r="K79" s="88"/>
      <c r="L79"/>
      <c r="M79"/>
      <c r="N79"/>
      <c r="O79"/>
      <c r="P79"/>
      <c r="Q79"/>
    </row>
    <row r="80" spans="1:17" ht="14.25" customHeight="1" x14ac:dyDescent="0.25">
      <c r="A80" s="44" t="s">
        <v>35</v>
      </c>
      <c r="B80" s="44"/>
      <c r="C80" s="45"/>
      <c r="D80" s="47" t="str">
        <f>Table132[[#This Row],[Symbol]]</f>
        <v>Crypto</v>
      </c>
      <c r="E80" s="51">
        <f>ROUND(SUM(0)/100,3)</f>
        <v>0</v>
      </c>
      <c r="F80" s="47" t="str">
        <f>Table132[[#This Row],[Symbol]]</f>
        <v>Crypto</v>
      </c>
      <c r="G80" s="51">
        <f>SUM(0)/(G61*C24)</f>
        <v>0</v>
      </c>
      <c r="H80" s="46"/>
      <c r="I80" s="50"/>
      <c r="J80" s="76"/>
      <c r="K80" s="89"/>
      <c r="L80"/>
      <c r="M80"/>
      <c r="N80"/>
      <c r="O80"/>
      <c r="P80"/>
      <c r="Q80"/>
    </row>
    <row r="81" spans="1:17" ht="14.25" customHeight="1" x14ac:dyDescent="0.25">
      <c r="A81" s="34" t="s">
        <v>23</v>
      </c>
      <c r="B81" s="34"/>
      <c r="C81" s="34"/>
      <c r="D81" s="47" t="str">
        <f>Table132[[#This Row],[Symbol]]</f>
        <v>Cash</v>
      </c>
      <c r="E81" s="34">
        <f>1-SUM(E62:E80)</f>
        <v>1.8000000000000016E-2</v>
      </c>
      <c r="F81" s="47" t="str">
        <f>Table132[[#This Row],[Symbol]]</f>
        <v>Cash</v>
      </c>
      <c r="G81" s="34">
        <f>1-SUM(G62:G80)</f>
        <v>1.8943344083280134E-2</v>
      </c>
      <c r="H81" s="34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 t="s">
        <v>29</v>
      </c>
      <c r="B82" s="25"/>
      <c r="C82" s="32"/>
      <c r="D82" s="31"/>
      <c r="E82" s="39">
        <f>C24*E81</f>
        <v>955015.9920000009</v>
      </c>
      <c r="F82" s="31"/>
      <c r="G82" s="34">
        <f>C24*G81</f>
        <v>1005066.4745272838</v>
      </c>
      <c r="H82" s="39"/>
      <c r="I82" s="30"/>
      <c r="J82" s="77"/>
      <c r="K82" s="90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25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5"/>
      <c r="B84" s="25"/>
      <c r="C84" s="32"/>
      <c r="D84" s="25"/>
      <c r="E84" s="25"/>
      <c r="F84" s="31"/>
      <c r="G84" s="34"/>
      <c r="H84" s="39"/>
      <c r="I84" s="27"/>
      <c r="J84" s="68"/>
      <c r="K84" s="82"/>
      <c r="L84"/>
      <c r="M84"/>
      <c r="N84"/>
      <c r="O84"/>
      <c r="P84"/>
      <c r="Q84"/>
    </row>
    <row r="85" spans="1:17" x14ac:dyDescent="0.25">
      <c r="A85" s="25"/>
      <c r="B85" s="25"/>
      <c r="C85" s="32"/>
      <c r="D85" s="25"/>
      <c r="E85" s="25"/>
      <c r="F85" s="31"/>
      <c r="G85" s="34"/>
      <c r="H85" s="39"/>
      <c r="I85" s="27"/>
      <c r="J85" s="68"/>
      <c r="K85" s="82"/>
      <c r="L85"/>
      <c r="M85"/>
      <c r="N85"/>
      <c r="O85"/>
      <c r="P85"/>
      <c r="Q85"/>
    </row>
    <row r="86" spans="1:17" x14ac:dyDescent="0.25">
      <c r="A86" s="20"/>
      <c r="B86" s="5" t="s">
        <v>21</v>
      </c>
      <c r="D86" s="1"/>
      <c r="E86" s="5" t="s">
        <v>20</v>
      </c>
      <c r="F86" s="1"/>
      <c r="G86" s="5"/>
      <c r="H86" s="40" t="s">
        <v>2</v>
      </c>
      <c r="I86" s="4"/>
      <c r="J86" s="78"/>
      <c r="K86" s="91"/>
      <c r="L86"/>
      <c r="M86"/>
      <c r="N86"/>
      <c r="O86"/>
      <c r="P86"/>
      <c r="Q86"/>
    </row>
    <row r="87" spans="1:17" x14ac:dyDescent="0.25">
      <c r="B87" s="5" t="s">
        <v>24</v>
      </c>
      <c r="D87" s="1"/>
      <c r="E87" s="5" t="s">
        <v>24</v>
      </c>
      <c r="F87" s="1"/>
      <c r="G87" s="5"/>
      <c r="H87" s="40" t="s">
        <v>3</v>
      </c>
      <c r="L87"/>
      <c r="M87"/>
      <c r="N87"/>
      <c r="O87"/>
      <c r="P87"/>
      <c r="Q87"/>
    </row>
    <row r="88" spans="1:17" x14ac:dyDescent="0.25">
      <c r="B88" s="3"/>
      <c r="C88"/>
      <c r="D88" s="1"/>
      <c r="E88" s="3"/>
      <c r="F88" s="19"/>
      <c r="G88" s="3"/>
      <c r="H88" s="41"/>
      <c r="L88"/>
      <c r="M88"/>
      <c r="N88"/>
      <c r="O88"/>
      <c r="P88"/>
      <c r="Q88"/>
    </row>
    <row r="89" spans="1:17" x14ac:dyDescent="0.25">
      <c r="C89"/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  <row r="92" spans="1:17" x14ac:dyDescent="0.25">
      <c r="L92"/>
      <c r="M92"/>
      <c r="N92"/>
      <c r="O92"/>
      <c r="P92"/>
      <c r="Q92"/>
    </row>
    <row r="93" spans="1:17" x14ac:dyDescent="0.25">
      <c r="L93"/>
      <c r="M93"/>
      <c r="N93"/>
      <c r="O93"/>
      <c r="P93"/>
      <c r="Q93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2024-04-04T06:58:29Z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