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564" documentId="14_{A48F4B07-3EF3-43E5-91B2-4CA340E6013A}" xr6:coauthVersionLast="47" xr6:coauthVersionMax="47" xr10:uidLastSave="{EDCF7D7A-D427-4E28-A930-0FD642872C94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  <c r="H47" i="3"/>
  <c r="F47" i="3"/>
  <c r="H45" i="3" l="1"/>
  <c r="H46" i="3"/>
  <c r="F44" i="3"/>
  <c r="F45" i="3"/>
  <c r="F46" i="3"/>
  <c r="H44" i="3" l="1"/>
  <c r="F67" i="3"/>
  <c r="D67" i="3"/>
  <c r="F29" i="3" l="1"/>
  <c r="H29" i="3"/>
  <c r="F68" i="3" l="1"/>
  <c r="F69" i="3"/>
  <c r="D68" i="3"/>
  <c r="D69" i="3"/>
  <c r="H30" i="3"/>
  <c r="H31" i="3"/>
  <c r="F30" i="3"/>
  <c r="F31" i="3"/>
  <c r="H34" i="3"/>
  <c r="F34" i="3"/>
  <c r="H35" i="3" l="1"/>
  <c r="H36" i="3"/>
  <c r="H37" i="3"/>
  <c r="F35" i="3"/>
  <c r="F36" i="3"/>
  <c r="F37" i="3"/>
  <c r="F54" i="3"/>
  <c r="H54" i="3"/>
  <c r="E78" i="3" l="1"/>
  <c r="E83" i="3" l="1"/>
  <c r="F53" i="3"/>
  <c r="H53" i="3" l="1"/>
  <c r="E80" i="3"/>
  <c r="E77" i="3"/>
  <c r="H28" i="3"/>
  <c r="F28" i="3"/>
  <c r="E65" i="3"/>
  <c r="H32" i="3"/>
  <c r="F32" i="3"/>
  <c r="F48" i="3" l="1"/>
  <c r="H48" i="3"/>
  <c r="E73" i="3" l="1"/>
  <c r="E72" i="3"/>
  <c r="F51" i="3"/>
  <c r="F75" i="3" l="1"/>
  <c r="D75" i="3"/>
  <c r="F61" i="3" l="1"/>
  <c r="H61" i="3"/>
  <c r="H51" i="3" l="1"/>
  <c r="H50" i="3"/>
  <c r="F50" i="3"/>
  <c r="D80" i="3" l="1"/>
  <c r="F80" i="3"/>
  <c r="D66" i="3" l="1"/>
  <c r="D70" i="3"/>
  <c r="D71" i="3"/>
  <c r="D72" i="3"/>
  <c r="D73" i="3"/>
  <c r="D74" i="3"/>
  <c r="D76" i="3"/>
  <c r="D77" i="3"/>
  <c r="D78" i="3"/>
  <c r="D79" i="3"/>
  <c r="D81" i="3"/>
  <c r="D82" i="3"/>
  <c r="D83" i="3"/>
  <c r="D84" i="3"/>
  <c r="F66" i="3"/>
  <c r="H43" i="3"/>
  <c r="F43" i="3"/>
  <c r="F49" i="3"/>
  <c r="H49" i="3"/>
  <c r="F42" i="3" l="1"/>
  <c r="H42" i="3"/>
  <c r="F78" i="3"/>
  <c r="D65" i="3" l="1"/>
  <c r="F74" i="3"/>
  <c r="F72" i="3"/>
  <c r="F71" i="3"/>
  <c r="F70" i="3"/>
  <c r="F65" i="3"/>
  <c r="F77" i="3"/>
  <c r="F73" i="3" l="1"/>
  <c r="F76" i="3"/>
  <c r="F79" i="3"/>
  <c r="F81" i="3"/>
  <c r="F82" i="3"/>
  <c r="F83" i="3"/>
  <c r="F84" i="3"/>
  <c r="H57" i="3" l="1"/>
  <c r="H56" i="3" l="1"/>
  <c r="H58" i="3"/>
  <c r="H59" i="3"/>
  <c r="H60" i="3"/>
  <c r="F56" i="3"/>
  <c r="F57" i="3"/>
  <c r="F58" i="3"/>
  <c r="F59" i="3"/>
  <c r="F60" i="3"/>
  <c r="F38" i="3" l="1"/>
  <c r="F39" i="3"/>
  <c r="F40" i="3"/>
  <c r="F52" i="3"/>
  <c r="F55" i="3"/>
  <c r="H55" i="3"/>
  <c r="H38" i="3" l="1"/>
  <c r="H39" i="3"/>
  <c r="H52" i="3" l="1"/>
  <c r="H33" i="3"/>
  <c r="H41" i="3" l="1"/>
  <c r="H40" i="3"/>
  <c r="C25" i="3" l="1" a="1"/>
  <c r="C25" i="3" s="1"/>
  <c r="K68" i="3" l="1"/>
  <c r="K66" i="3"/>
  <c r="F41" i="3"/>
  <c r="K65" i="3" l="1"/>
  <c r="F33" i="3"/>
  <c r="C24" i="3"/>
  <c r="C16" i="3" l="1"/>
  <c r="G74" i="3"/>
  <c r="G67" i="3"/>
  <c r="C6" i="3"/>
  <c r="C5" i="3"/>
  <c r="C4" i="3"/>
  <c r="G69" i="3"/>
  <c r="G66" i="3"/>
  <c r="G68" i="3"/>
  <c r="G70" i="3"/>
  <c r="C7" i="3"/>
  <c r="C8" i="3"/>
  <c r="G71" i="3"/>
  <c r="G82" i="3"/>
  <c r="G79" i="3"/>
  <c r="G78" i="3"/>
  <c r="C15" i="3"/>
  <c r="C19" i="3"/>
  <c r="G83" i="3"/>
  <c r="G76" i="3"/>
  <c r="C13" i="3"/>
  <c r="C18" i="3"/>
  <c r="G80" i="3"/>
  <c r="G77" i="3"/>
  <c r="C14" i="3"/>
  <c r="G65" i="3"/>
  <c r="C3" i="3"/>
  <c r="C12" i="3"/>
  <c r="C20" i="3"/>
  <c r="C17" i="3"/>
  <c r="G81" i="3"/>
  <c r="C9" i="3"/>
  <c r="G72" i="3"/>
  <c r="C10" i="3"/>
  <c r="G73" i="3"/>
  <c r="G75" i="3"/>
  <c r="C2" i="3"/>
  <c r="G84" i="3" l="1"/>
  <c r="G85" i="3" s="1"/>
  <c r="E64" i="3" l="1"/>
  <c r="G31" i="3" s="1"/>
  <c r="E69" i="3" s="1"/>
  <c r="G47" i="3" l="1"/>
  <c r="G46" i="3"/>
  <c r="G45" i="3"/>
  <c r="G44" i="3"/>
  <c r="G43" i="3"/>
  <c r="G42" i="3"/>
  <c r="G29" i="3"/>
  <c r="E67" i="3" s="1"/>
  <c r="G28" i="3"/>
  <c r="E66" i="3" s="1"/>
  <c r="G54" i="3"/>
  <c r="E82" i="3" s="1"/>
  <c r="G38" i="3"/>
  <c r="G36" i="3"/>
  <c r="G58" i="3"/>
  <c r="G57" i="3"/>
  <c r="G55" i="3"/>
  <c r="G32" i="3"/>
  <c r="G53" i="3"/>
  <c r="E76" i="3" s="1"/>
  <c r="G35" i="3"/>
  <c r="G39" i="3"/>
  <c r="G59" i="3"/>
  <c r="G51" i="3"/>
  <c r="G50" i="3"/>
  <c r="G52" i="3"/>
  <c r="G56" i="3"/>
  <c r="G37" i="3"/>
  <c r="G34" i="3"/>
  <c r="G33" i="3"/>
  <c r="G30" i="3"/>
  <c r="E68" i="3" s="1"/>
  <c r="G41" i="3"/>
  <c r="G61" i="3"/>
  <c r="E81" i="3" s="1"/>
  <c r="G60" i="3"/>
  <c r="G40" i="3"/>
  <c r="G48" i="3"/>
  <c r="G49" i="3"/>
  <c r="E74" i="3" l="1"/>
  <c r="E70" i="3"/>
  <c r="E75" i="3"/>
  <c r="E71" i="3"/>
  <c r="E79" i="3"/>
  <c r="E84" i="3" l="1"/>
  <c r="E85" i="3" s="1"/>
</calcChain>
</file>

<file path=xl/sharedStrings.xml><?xml version="1.0" encoding="utf-8"?>
<sst xmlns="http://schemas.openxmlformats.org/spreadsheetml/2006/main" count="137" uniqueCount="98">
  <si>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</si>
  <si>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</si>
  <si>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</si>
  <si>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</si>
  <si>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</si>
  <si>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</si>
  <si>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</si>
  <si>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</si>
  <si>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</si>
  <si>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</si>
  <si>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</si>
  <si>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</si>
  <si>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</si>
  <si>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</si>
  <si>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</si>
  <si>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</si>
  <si>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</si>
  <si>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</si>
  <si>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</si>
  <si>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</si>
  <si>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</si>
  <si>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</si>
  <si>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</si>
  <si>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</si>
  <si>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</si>
  <si>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</si>
  <si>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</si>
  <si>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</si>
  <si>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</si>
  <si>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</si>
  <si>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</si>
  <si>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</si>
  <si>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</si>
  <si>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</si>
  <si>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</si>
  <si>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</si>
  <si>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</si>
  <si>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</si>
  <si>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</si>
  <si>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</si>
  <si>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</si>
  <si>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</si>
  <si>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</si>
  <si>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</si>
  <si>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</si>
  <si>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</si>
  <si>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</si>
  <si>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</si>
  <si>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</si>
  <si>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</si>
  <si>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</si>
  <si>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</si>
  <si>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</si>
  <si>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</si>
  <si>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</si>
  <si>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</si>
  <si>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</si>
  <si>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</si>
  <si>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</si>
  <si>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</si>
  <si>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</si>
  <si>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</si>
  <si>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</si>
  <si>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</si>
  <si>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</si>
  <si>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</si>
  <si>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</si>
  <si>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</si>
  <si>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</si>
  <si>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</si>
  <si>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</si>
  <si>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</si>
  <si>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</si>
  <si>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</si>
  <si>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</si>
  <si>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</si>
  <si>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</si>
  <si>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</si>
  <si>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</si>
  <si>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</si>
  <si>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</si>
  <si>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</si>
  <si>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</si>
  <si>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</si>
  <si>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</si>
  <si>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</si>
  <si>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</si>
  <si>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</si>
  <si>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</si>
  <si>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</si>
  <si>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</si>
  <si>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</si>
  <si>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</si>
  <si>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</si>
  <si>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</si>
  <si>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</si>
  <si>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Market</t>
  </si>
  <si>
    <t>Incomplete: 169900/1250000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</si>
</sst>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Sheet1!$D$65:$D$84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Sheet1!$E$65:$E$84</c:f>
              <c:numCache>
                <c:formatCode>General</c:formatCode>
                <c:ptCount val="20"/>
                <c:pt idx="0">
                  <c:v>0</c:v>
                </c:pt>
                <c:pt idx="1">
                  <c:v>2.5999999999999999E-2</c:v>
                </c:pt>
                <c:pt idx="2">
                  <c:v>3.6999999999999998E-2</c:v>
                </c:pt>
                <c:pt idx="3">
                  <c:v>6.5000000000000002E-2</c:v>
                </c:pt>
                <c:pt idx="4">
                  <c:v>6.4000000000000001E-2</c:v>
                </c:pt>
                <c:pt idx="5">
                  <c:v>0.28699999999999998</c:v>
                </c:pt>
                <c:pt idx="6">
                  <c:v>0.111</c:v>
                </c:pt>
                <c:pt idx="7">
                  <c:v>0</c:v>
                </c:pt>
                <c:pt idx="8">
                  <c:v>0</c:v>
                </c:pt>
                <c:pt idx="9">
                  <c:v>0.111</c:v>
                </c:pt>
                <c:pt idx="10">
                  <c:v>7.0999999999999994E-2</c:v>
                </c:pt>
                <c:pt idx="11">
                  <c:v>0.122</c:v>
                </c:pt>
                <c:pt idx="12">
                  <c:v>0</c:v>
                </c:pt>
                <c:pt idx="13">
                  <c:v>0</c:v>
                </c:pt>
                <c:pt idx="14">
                  <c:v>7.0000000000000007E-2</c:v>
                </c:pt>
                <c:pt idx="15">
                  <c:v>0</c:v>
                </c:pt>
                <c:pt idx="16">
                  <c:v>3.1E-2</c:v>
                </c:pt>
                <c:pt idx="17">
                  <c:v>6.0000000000000001E-3</c:v>
                </c:pt>
                <c:pt idx="18">
                  <c:v>0</c:v>
                </c:pt>
                <c:pt idx="19">
                  <c:v>-9.9999999999988987E-4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B4-4346-BAF7-6C57E15A0B45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3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3E-4F17-803B-CCDCEDB050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Sheet1!$J$65:$J$69</c:f>
              <c:strCache>
                <c:ptCount val="4"/>
                <c:pt idx="0">
                  <c:v> US </c:v>
                </c:pt>
                <c:pt idx="1">
                  <c:v> International </c:v>
                </c:pt>
                <c:pt idx="3">
                  <c:v> Commodity </c:v>
                </c:pt>
              </c:strCache>
            </c:strRef>
          </c:cat>
          <c:val>
            <c:numRef>
              <c:f>Sheet1!$K$65:$K$69</c:f>
              <c:numCache>
                <c:formatCode>0%</c:formatCode>
                <c:ptCount val="5"/>
                <c:pt idx="0">
                  <c:v>0.69927898543632117</c:v>
                </c:pt>
                <c:pt idx="1">
                  <c:v>0.26375316925877024</c:v>
                </c:pt>
                <c:pt idx="3">
                  <c:v>3.6967845304908591E-2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8" totalsRowShown="0" headerRowDxfId="13" dataDxfId="11" headerRowBorderDxfId="12" tableBorderDxfId="10" totalsRowBorderDxfId="9">
  <autoFilter ref="A27:I88" xr:uid="{00000000-0009-0000-0100-000001000000}"/>
  <sortState xmlns:xlrd2="http://schemas.microsoft.com/office/spreadsheetml/2017/richdata2" ref="A28:I87">
    <sortCondition ref="A27:A8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6"/>
  <sheetViews>
    <sheetView tabSelected="1" topLeftCell="A28" zoomScale="120" zoomScaleNormal="120" workbookViewId="0">
      <selection activeCell="I45" sqref="I45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45387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5.0756044337388238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0.13025043464253827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0.32795695419471099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0.3231226088217522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1.4559092463702163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0.56153912055336819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SUM(H38:H49)/C24</f>
        <v>0.56312245279140449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SUM(H50:H52)/C24</f>
        <v>0.36178605437128869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SUM(H53)/C24</f>
        <v>0.62140753270999416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SUM(H54)/C24</f>
        <v>2.8077378147503711E-2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SUM(H55:H60)/C24</f>
        <v>0.35639197817481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SUM(H61)/C24</f>
        <v>0.15955678138786131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51227159.189999998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51227159.189999998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260008796.31260851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141.94999999999999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($)]]/(IF(G85&gt;0, G64,E64)*C24)*100,3)</f>
        <v>2.5659999999999998</v>
      </c>
      <c r="H28" s="39">
        <f>Table132[[#This Row],[New position]]*Table132[[#This Row],[Last_Price]]</f>
        <v>6672359.7499999991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97.48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($)]]/(IF(G85&gt;0, G64,E64)*C24)*100,3)</f>
        <v>3.6739999999999999</v>
      </c>
      <c r="H29" s="39">
        <f>Table132[[#This Row],[New position]]*Table132[[#This Row],[Last_Price]]</f>
        <v>9553040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41.3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($)]]/(IF(G85&gt;0, G64,E64)*C24)*100,3)</f>
        <v>6.4610000000000003</v>
      </c>
      <c r="H30" s="39">
        <f>Table132[[#This Row],[New position]]*Table132[[#This Row],[Last_Price]]</f>
        <v>16800303.099999998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204.89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($)]]/(IF(G85&gt;0, G64,E64)*C24)*100,3)</f>
        <v>6.3659999999999997</v>
      </c>
      <c r="H31" s="39">
        <f>Table132[[#This Row],[New position]]*Table132[[#This Row],[Last_Price]]</f>
        <v>16552653.319999998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222</v>
      </c>
      <c r="D32" s="34">
        <v>181518</v>
      </c>
      <c r="E32" s="34">
        <v>204040</v>
      </c>
      <c r="F32" s="33">
        <f>Table132[[#This Row],[New position]]-Table132[[#This Row],[Old position]]</f>
        <v>22522</v>
      </c>
      <c r="G32" s="34">
        <f>ROUND(Table132[[#This Row],[Target allocation ($)]]/(IF(G85&gt;0, G64,E64)*C24)*100,3)</f>
        <v>17.420999999999999</v>
      </c>
      <c r="H32" s="39">
        <f>Table132[[#This Row],[New position]]*Table132[[#This Row],[Last_Price]]</f>
        <v>45296880</v>
      </c>
      <c r="I32" s="27"/>
      <c r="J32" s="95" t="s">
        <v>96</v>
      </c>
      <c r="K32" s="95">
        <v>222.48</v>
      </c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66.11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($)]]/(IF(G85&gt;0, G64,E64)*C24)*100,3)</f>
        <v>8.1530000000000005</v>
      </c>
      <c r="H33" s="39">
        <f>Table132[[#This Row],[New position]]*Table132[[#This Row],[Last_Price]]</f>
        <v>21197708.73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865.9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($)]]/(IF(G85&gt;0, G64,E64)*C24)*100,3)</f>
        <v>3.11</v>
      </c>
      <c r="H34" s="39">
        <f>Table132[[#This Row],[New position]]*Table132[[#This Row],[Last_Price]]</f>
        <v>8087506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57.44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($)]]/(IF(G85&gt;0, G64,E64)*C24)*100,3)</f>
        <v>5.9009999999999998</v>
      </c>
      <c r="H35" s="39">
        <f>Table132[[#This Row],[New position]]*Table132[[#This Row],[Last_Price]]</f>
        <v>15344406.719999999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204.13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($)]]/(IF(G85&gt;0, G64,E64)*C24)*100,3)</f>
        <v>4.5709999999999997</v>
      </c>
      <c r="H36" s="39">
        <f>Table132[[#This Row],[New position]]*Table132[[#This Row],[Last_Price]]</f>
        <v>11885265.119999999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48.06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($)]]/(IF(G85&gt;0, G64,E64)*C24)*100,3)</f>
        <v>0.59099999999999997</v>
      </c>
      <c r="H37" s="39">
        <f>Table132[[#This Row],[New position]]*Table132[[#This Row],[Last_Price]]</f>
        <v>1536382.08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239.59357541899399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($)]]/(IF(G85&gt;0, G64,E64)*C24)*100,3)</f>
        <v>8.3000000000000004E-2</v>
      </c>
      <c r="H38" s="39">
        <f>Table132[[#This Row],[New position]]*Table132[[#This Row],[Last_Price]]</f>
        <v>215634.2178770946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39.718670076726298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($)]]/(IF(G85&gt;0, G64,E64)*C24)*100,3)</f>
        <v>0.23400000000000001</v>
      </c>
      <c r="H39" s="39">
        <f>Table132[[#This Row],[New position]]*Table132[[#This Row],[Last_Price]]</f>
        <v>607695.65217391239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8.9578005115089496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($)]]/(IF(G85&gt;0, G64,E64)*C24)*100,3)</f>
        <v>7.5999999999999998E-2</v>
      </c>
      <c r="H40" s="39">
        <f>Table132[[#This Row],[New position]]*Table132[[#This Row],[Last_Price]]</f>
        <v>197071.6112531969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13.4398976982097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($)]]/(IF(G85&gt;0, G64,E64)*C24)*100,3)</f>
        <v>8.1000000000000003E-2</v>
      </c>
      <c r="H41" s="39">
        <f>Table132[[#This Row],[New position]]*Table132[[#This Row],[Last_Price]]</f>
        <v>209662.40409207132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0.910485933503836</v>
      </c>
      <c r="D42" s="34">
        <v>1684000</v>
      </c>
      <c r="E42" s="34">
        <v>2684000</v>
      </c>
      <c r="F42" s="33">
        <f>Table132[[#This Row],[New position]]-Table132[[#This Row],[Old position]]</f>
        <v>1000000</v>
      </c>
      <c r="G42" s="34">
        <f>ROUND(Table132[[#This Row],[Target allocation ($)]]/(IF(G85&gt;0, G64,E64)*C24)*100,3)</f>
        <v>0.94</v>
      </c>
      <c r="H42" s="39">
        <f>Table132[[#This Row],[New position]]*Table132[[#This Row],[Last_Price]]</f>
        <v>2443744.2455242956</v>
      </c>
      <c r="I42" s="59"/>
      <c r="J42" s="95" t="s">
        <v>96</v>
      </c>
      <c r="K42" s="96">
        <v>0.91</v>
      </c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2.47314578005115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($)]]/(IF(G85&gt;0, G64,E64)*C24)*100,3)</f>
        <v>2.4369999999999998</v>
      </c>
      <c r="H43" s="39">
        <f>Table132[[#This Row],[New position]]*Table132[[#This Row],[Last_Price]]</f>
        <v>6336199.4884910462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7.5933503836317104</v>
      </c>
      <c r="D44" s="34">
        <v>260000</v>
      </c>
      <c r="E44" s="34">
        <v>523000</v>
      </c>
      <c r="F44" s="33">
        <f>Table132[[#This Row],[New position]]-Table132[[#This Row],[Old position]]</f>
        <v>263000</v>
      </c>
      <c r="G44" s="34">
        <f>ROUND(Table132[[#This Row],[Target allocation ($)]]/(IF(G85&gt;0, G64,E64)*C24)*100,3)</f>
        <v>1.5269999999999999</v>
      </c>
      <c r="H44" s="39">
        <f>Table132[[#This Row],[New position]]*Table132[[#This Row],[Last_Price]]</f>
        <v>3971322.2506393846</v>
      </c>
      <c r="I44" s="59"/>
      <c r="J44" s="95" t="s">
        <v>96</v>
      </c>
      <c r="K44" s="95">
        <v>7.59</v>
      </c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4">
        <v>1.5984654731457799</v>
      </c>
      <c r="D45" s="34">
        <v>0</v>
      </c>
      <c r="E45" s="34">
        <v>1250000</v>
      </c>
      <c r="F45" s="33">
        <f>Table132[[#This Row],[New position]]-Table132[[#This Row],[Old position]]</f>
        <v>1250000</v>
      </c>
      <c r="G45" s="34">
        <f>ROUND(Table132[[#This Row],[Target allocation ($)]]/(IF(G85&gt;0, G64,E64)*C24)*100,3)</f>
        <v>0.76800000000000002</v>
      </c>
      <c r="H45" s="39">
        <f>Table132[[#This Row],[New position]]*Table132[[#This Row],[Last_Price]]</f>
        <v>1998081.841432225</v>
      </c>
      <c r="I45" s="27" t="s">
        <v>97</v>
      </c>
      <c r="J45" s="95" t="s">
        <v>96</v>
      </c>
      <c r="K45" s="95">
        <v>1.6</v>
      </c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4">
        <v>11.355498721227599</v>
      </c>
      <c r="D46" s="34">
        <v>0</v>
      </c>
      <c r="E46" s="34">
        <v>88000</v>
      </c>
      <c r="F46" s="33">
        <f>Table132[[#This Row],[New position]]-Table132[[#This Row],[Old position]]</f>
        <v>88000</v>
      </c>
      <c r="G46" s="34">
        <f>ROUND(Table132[[#This Row],[Target allocation ($)]]/(IF(G85&gt;0, G64,E64)*C24)*100,3)</f>
        <v>0.38400000000000001</v>
      </c>
      <c r="H46" s="39">
        <f>Table132[[#This Row],[New position]]*Table132[[#This Row],[Last_Price]]</f>
        <v>999283.8874680287</v>
      </c>
      <c r="I46" s="59"/>
      <c r="J46" s="95" t="s">
        <v>96</v>
      </c>
      <c r="K46" s="95">
        <v>11.34</v>
      </c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4">
        <v>0.43222506393861898</v>
      </c>
      <c r="D47" s="34">
        <v>0</v>
      </c>
      <c r="E47" s="34">
        <v>2325000</v>
      </c>
      <c r="F47" s="33">
        <f>Table132[[#This Row],[New position]]-Table132[[#This Row],[Old position]]</f>
        <v>2325000</v>
      </c>
      <c r="G47" s="34">
        <f>ROUND(Table132[[#This Row],[Target allocation ($)]]/(IF(G85&gt;0, G64,E64)*C24)*100,3)</f>
        <v>0.38600000000000001</v>
      </c>
      <c r="H47" s="39">
        <f>Table132[[#This Row],[New position]]*Table132[[#This Row],[Last_Price]]</f>
        <v>1004923.2736572891</v>
      </c>
      <c r="I47" s="59"/>
      <c r="J47" s="95" t="s">
        <v>96</v>
      </c>
      <c r="K47" s="95">
        <v>0.43</v>
      </c>
      <c r="L47"/>
      <c r="N47"/>
      <c r="O47"/>
      <c r="P47"/>
      <c r="Q47"/>
    </row>
    <row r="48" spans="1:17" x14ac:dyDescent="0.25">
      <c r="A48" s="34" t="s">
        <v>66</v>
      </c>
      <c r="B48" s="34" t="s">
        <v>14</v>
      </c>
      <c r="C48" s="94">
        <v>44.03</v>
      </c>
      <c r="D48" s="34">
        <v>239592</v>
      </c>
      <c r="E48" s="34">
        <v>239592</v>
      </c>
      <c r="F48" s="33">
        <f>Table132[[#This Row],[New position]]-Table132[[#This Row],[Old position]]</f>
        <v>0</v>
      </c>
      <c r="G48" s="34">
        <f>ROUND(Table132[[#This Row],[Target allocation ($)]]/(IF(G85&gt;0, G64,E64)*C24)*100,3)</f>
        <v>4.0570000000000004</v>
      </c>
      <c r="H48" s="39">
        <f>Table132[[#This Row],[New position]]*Table132[[#This Row],[Last_Price]]</f>
        <v>10549235.76</v>
      </c>
      <c r="I48" s="65"/>
      <c r="J48" s="95"/>
      <c r="K48" s="97"/>
      <c r="L48"/>
      <c r="M48"/>
      <c r="N48"/>
      <c r="O48"/>
      <c r="P48"/>
      <c r="Q48"/>
    </row>
    <row r="49" spans="1:17" x14ac:dyDescent="0.25">
      <c r="A49" s="34" t="s">
        <v>53</v>
      </c>
      <c r="B49" s="34" t="s">
        <v>14</v>
      </c>
      <c r="C49" s="46">
        <v>23.9</v>
      </c>
      <c r="D49" s="34">
        <v>13151</v>
      </c>
      <c r="E49" s="34">
        <v>13151</v>
      </c>
      <c r="F49" s="33">
        <f>Table132[[#This Row],[New position]]-Table132[[#This Row],[Old position]]</f>
        <v>0</v>
      </c>
      <c r="G49" s="34">
        <f>ROUND(Table132[[#This Row],[Target allocation ($)]]/(IF(G85&gt;0, G64,E64)*C24)*100,3)</f>
        <v>0.121</v>
      </c>
      <c r="H49" s="39">
        <f>Table132[[#This Row],[New position]]*Table132[[#This Row],[Last_Price]]</f>
        <v>314308.89999999997</v>
      </c>
      <c r="I49" s="59"/>
      <c r="J49" s="97"/>
      <c r="K49" s="97"/>
      <c r="L49"/>
      <c r="M49"/>
      <c r="N49"/>
      <c r="O49"/>
      <c r="P49"/>
      <c r="Q49"/>
    </row>
    <row r="50" spans="1:17" x14ac:dyDescent="0.25">
      <c r="A50" s="44" t="s">
        <v>52</v>
      </c>
      <c r="B50" s="44" t="s">
        <v>14</v>
      </c>
      <c r="C50" s="46">
        <v>69.7</v>
      </c>
      <c r="D50" s="34">
        <v>21678</v>
      </c>
      <c r="E50" s="34">
        <v>21678</v>
      </c>
      <c r="F50" s="33">
        <f>Table132[[#This Row],[New position]]-Table132[[#This Row],[Old position]]</f>
        <v>0</v>
      </c>
      <c r="G50" s="34">
        <f>ROUND(Table132[[#This Row],[Target allocation ($)]]/(IF(G85&gt;0, G64,E64)*C24)*100,3)</f>
        <v>0.58099999999999996</v>
      </c>
      <c r="H50" s="39">
        <f>Table132[[#This Row],[New position]]*Table132[[#This Row],[Last_Price]]</f>
        <v>1510956.6</v>
      </c>
      <c r="I50" s="61"/>
      <c r="J50" s="97"/>
      <c r="K50" s="97"/>
      <c r="L50"/>
      <c r="M50"/>
      <c r="N50"/>
      <c r="O50"/>
      <c r="P50"/>
      <c r="Q50"/>
    </row>
    <row r="51" spans="1:17" x14ac:dyDescent="0.25">
      <c r="A51" s="44" t="s">
        <v>61</v>
      </c>
      <c r="B51" s="44" t="s">
        <v>14</v>
      </c>
      <c r="C51" s="46">
        <v>32.67</v>
      </c>
      <c r="D51" s="34">
        <v>3400</v>
      </c>
      <c r="E51" s="34">
        <v>3400</v>
      </c>
      <c r="F51" s="33">
        <f>Table132[[#This Row],[New position]]-Table132[[#This Row],[Old position]]</f>
        <v>0</v>
      </c>
      <c r="G51" s="34">
        <f>ROUND(Table132[[#This Row],[Target allocation ($)]]/(IF(G85&gt;0, G64,E64)*C24)*100,3)</f>
        <v>4.2999999999999997E-2</v>
      </c>
      <c r="H51" s="39">
        <f>Table132[[#This Row],[New position]]*Table132[[#This Row],[Last_Price]]</f>
        <v>111078</v>
      </c>
      <c r="I51" s="61"/>
      <c r="J51" s="97"/>
      <c r="K51" s="97"/>
      <c r="L51"/>
      <c r="M51"/>
      <c r="N51"/>
      <c r="O51"/>
      <c r="P51"/>
      <c r="Q51"/>
    </row>
    <row r="52" spans="1:17" x14ac:dyDescent="0.25">
      <c r="A52" s="44" t="s">
        <v>62</v>
      </c>
      <c r="B52" s="34" t="s">
        <v>14</v>
      </c>
      <c r="C52" s="46">
        <v>106.6</v>
      </c>
      <c r="D52" s="34">
        <v>158642</v>
      </c>
      <c r="E52" s="34">
        <v>158642</v>
      </c>
      <c r="F52" s="33">
        <f>Table132[[#This Row],[New position]]-Table132[[#This Row],[Old position]]</f>
        <v>0</v>
      </c>
      <c r="G52" s="34">
        <f>ROUND(Table132[[#This Row],[Target allocation ($)]]/(IF(G85&gt;0, G64,E64)*C24)*100,3)</f>
        <v>6.5039999999999996</v>
      </c>
      <c r="H52" s="39">
        <f>Table132[[#This Row],[New position]]*Table132[[#This Row],[Last_Price]]</f>
        <v>16911237.199999999</v>
      </c>
      <c r="I52" s="49"/>
      <c r="J52" s="95"/>
      <c r="K52" s="97"/>
      <c r="L52"/>
      <c r="M52"/>
      <c r="N52"/>
      <c r="O52"/>
      <c r="P52"/>
      <c r="Q52"/>
    </row>
    <row r="53" spans="1:17" x14ac:dyDescent="0.25">
      <c r="A53" s="44" t="s">
        <v>11</v>
      </c>
      <c r="B53" s="34" t="s">
        <v>14</v>
      </c>
      <c r="C53" s="46">
        <v>436.6</v>
      </c>
      <c r="D53" s="34">
        <v>72911</v>
      </c>
      <c r="E53" s="34">
        <v>72911</v>
      </c>
      <c r="F53" s="33">
        <f>Table132[[#This Row],[New position]]-Table132[[#This Row],[Old position]]</f>
        <v>0</v>
      </c>
      <c r="G53" s="34">
        <f>ROUND(Table132[[#This Row],[Target allocation ($)]]/(IF(G85&gt;0, G64,E64)*C24)*100,3)</f>
        <v>12.243</v>
      </c>
      <c r="H53" s="39">
        <f>Table132[[#This Row],[New position]]*Table132[[#This Row],[Last_Price]]</f>
        <v>31832942.600000001</v>
      </c>
      <c r="I53" s="99"/>
      <c r="J53" s="95"/>
      <c r="K53" s="97"/>
      <c r="L53"/>
      <c r="M53"/>
      <c r="N53"/>
      <c r="O53"/>
      <c r="P53"/>
      <c r="Q53"/>
    </row>
    <row r="54" spans="1:17" x14ac:dyDescent="0.25">
      <c r="A54" s="44" t="s">
        <v>31</v>
      </c>
      <c r="B54" s="34" t="s">
        <v>14</v>
      </c>
      <c r="C54" s="46">
        <v>52.44</v>
      </c>
      <c r="D54" s="34">
        <v>27428</v>
      </c>
      <c r="E54" s="34">
        <v>27428</v>
      </c>
      <c r="F54" s="33">
        <f>Table132[[#This Row],[New position]]-Table132[[#This Row],[Old position]]</f>
        <v>0</v>
      </c>
      <c r="G54" s="34">
        <f>ROUND(Table132[[#This Row],[Target allocation ($)]]/(IF(G85&gt;0, G64,E64)*C24)*100,3)</f>
        <v>0.55300000000000005</v>
      </c>
      <c r="H54" s="39">
        <f>Table132[[#This Row],[New position]]*Table132[[#This Row],[Last_Price]]</f>
        <v>1438324.3199999998</v>
      </c>
      <c r="I54" s="100"/>
      <c r="J54" s="95"/>
      <c r="K54" s="97"/>
      <c r="L54"/>
      <c r="M54"/>
      <c r="N54"/>
      <c r="O54"/>
      <c r="P54"/>
      <c r="Q54"/>
    </row>
    <row r="55" spans="1:17" x14ac:dyDescent="0.25">
      <c r="A55" s="44" t="s">
        <v>32</v>
      </c>
      <c r="B55" s="44" t="s">
        <v>14</v>
      </c>
      <c r="C55" s="46">
        <v>79.760000000000005</v>
      </c>
      <c r="D55" s="34">
        <v>36312</v>
      </c>
      <c r="E55" s="34">
        <v>36312</v>
      </c>
      <c r="F55" s="33">
        <f>Table132[[#This Row],[New position]]-Table132[[#This Row],[Old position]]</f>
        <v>0</v>
      </c>
      <c r="G55" s="34">
        <f>ROUND(Table132[[#This Row],[Target allocation ($)]]/(IF(G85&gt;0, G64,E64)*C24)*100,3)</f>
        <v>1.1140000000000001</v>
      </c>
      <c r="H55" s="39">
        <f>Table132[[#This Row],[New position]]*Table132[[#This Row],[Last_Price]]</f>
        <v>2896245.12</v>
      </c>
      <c r="I55" s="26"/>
      <c r="J55" s="97"/>
      <c r="K55" s="97"/>
      <c r="L55" s="42"/>
      <c r="M55"/>
      <c r="N55"/>
      <c r="O55"/>
      <c r="P55"/>
      <c r="Q55"/>
    </row>
    <row r="56" spans="1:17" x14ac:dyDescent="0.25">
      <c r="A56" s="44" t="s">
        <v>33</v>
      </c>
      <c r="B56" s="44" t="s">
        <v>14</v>
      </c>
      <c r="C56" s="46">
        <v>71.959999999999994</v>
      </c>
      <c r="D56" s="34">
        <v>38350</v>
      </c>
      <c r="E56" s="34">
        <v>38350</v>
      </c>
      <c r="F56" s="33">
        <f>Table132[[#This Row],[New position]]-Table132[[#This Row],[Old position]]</f>
        <v>0</v>
      </c>
      <c r="G56" s="34">
        <f>ROUND(Table132[[#This Row],[Target allocation ($)]]/(IF(G85&gt;0, G64,E64)*C24)*100,3)</f>
        <v>1.0609999999999999</v>
      </c>
      <c r="H56" s="39">
        <f>Table132[[#This Row],[New position]]*Table132[[#This Row],[Last_Price]]</f>
        <v>2759665.9999999995</v>
      </c>
      <c r="I56" s="26"/>
      <c r="J56" s="97"/>
      <c r="K56" s="97"/>
      <c r="L56"/>
      <c r="M56"/>
      <c r="N56"/>
      <c r="O56"/>
      <c r="P56"/>
      <c r="Q56"/>
    </row>
    <row r="57" spans="1:17" x14ac:dyDescent="0.25">
      <c r="A57" s="44" t="s">
        <v>40</v>
      </c>
      <c r="B57" s="44" t="s">
        <v>14</v>
      </c>
      <c r="C57" s="46">
        <v>92.28</v>
      </c>
      <c r="D57" s="34">
        <v>63975</v>
      </c>
      <c r="E57" s="34">
        <v>63975</v>
      </c>
      <c r="F57" s="33">
        <f>Table132[[#This Row],[New position]]-Table132[[#This Row],[Old position]]</f>
        <v>0</v>
      </c>
      <c r="G57" s="34">
        <f>ROUND(Table132[[#This Row],[Target allocation ($)]]/(IF(G85&gt;0, G64,E64)*C24)*100,3)</f>
        <v>2.2709999999999999</v>
      </c>
      <c r="H57" s="39">
        <f>Table132[[#This Row],[New position]]*Table132[[#This Row],[Last_Price]]</f>
        <v>5903613</v>
      </c>
      <c r="I57" s="26"/>
      <c r="J57" s="95"/>
      <c r="K57" s="97"/>
      <c r="L57"/>
      <c r="M57"/>
      <c r="N57"/>
      <c r="O57"/>
      <c r="P57"/>
      <c r="Q57"/>
    </row>
    <row r="58" spans="1:17" x14ac:dyDescent="0.25">
      <c r="A58" s="44" t="s">
        <v>43</v>
      </c>
      <c r="B58" s="44" t="s">
        <v>14</v>
      </c>
      <c r="C58" s="46">
        <v>107.5</v>
      </c>
      <c r="D58" s="34">
        <v>26725</v>
      </c>
      <c r="E58" s="34">
        <v>26725</v>
      </c>
      <c r="F58" s="33">
        <f>Table132[[#This Row],[New position]]-Table132[[#This Row],[Old position]]</f>
        <v>0</v>
      </c>
      <c r="G58" s="34">
        <f>ROUND(Table132[[#This Row],[Target allocation ($)]]/(IF(G85&gt;0, G64,E64)*C24)*100,3)</f>
        <v>1.105</v>
      </c>
      <c r="H58" s="39">
        <f>Table132[[#This Row],[New position]]*Table132[[#This Row],[Last_Price]]</f>
        <v>2872937.5</v>
      </c>
      <c r="I58" s="53"/>
      <c r="J58" s="97"/>
      <c r="K58" s="97"/>
      <c r="L58"/>
      <c r="M58"/>
      <c r="N58"/>
      <c r="O58"/>
      <c r="P58"/>
      <c r="Q58"/>
    </row>
    <row r="59" spans="1:17" x14ac:dyDescent="0.25">
      <c r="A59" s="44" t="s">
        <v>48</v>
      </c>
      <c r="B59" s="44" t="s">
        <v>14</v>
      </c>
      <c r="C59" s="46">
        <v>36.15</v>
      </c>
      <c r="D59" s="34">
        <v>78324</v>
      </c>
      <c r="E59" s="34">
        <v>78324</v>
      </c>
      <c r="F59" s="33">
        <f>Table132[[#This Row],[New position]]-Table132[[#This Row],[Old position]]</f>
        <v>0</v>
      </c>
      <c r="G59" s="34">
        <f>ROUND(Table132[[#This Row],[Target allocation ($)]]/(IF(G85&gt;0, G64,E64)*C24)*100,3)</f>
        <v>1.089</v>
      </c>
      <c r="H59" s="39">
        <f>Table132[[#This Row],[New position]]*Table132[[#This Row],[Last_Price]]</f>
        <v>2831412.6</v>
      </c>
      <c r="I59" s="53"/>
      <c r="J59" s="97"/>
      <c r="K59" s="97"/>
      <c r="L59"/>
      <c r="M59"/>
      <c r="N59"/>
      <c r="O59"/>
      <c r="P59"/>
      <c r="Q59"/>
    </row>
    <row r="60" spans="1:17" x14ac:dyDescent="0.25">
      <c r="A60" s="44" t="s">
        <v>65</v>
      </c>
      <c r="B60" s="44" t="s">
        <v>14</v>
      </c>
      <c r="C60" s="46">
        <v>47.26</v>
      </c>
      <c r="D60" s="34">
        <v>21013</v>
      </c>
      <c r="E60" s="34">
        <v>21013</v>
      </c>
      <c r="F60" s="33">
        <f>Table132[[#This Row],[New position]]-Table132[[#This Row],[Old position]]</f>
        <v>0</v>
      </c>
      <c r="G60" s="34">
        <f>ROUND(Table132[[#This Row],[Target allocation ($)]]/(IF(G85&gt;0, G64,E64)*C24)*100,3)</f>
        <v>0.38200000000000001</v>
      </c>
      <c r="H60" s="39">
        <f>Table132[[#This Row],[New position]]*Table132[[#This Row],[Last_Price]]</f>
        <v>993074.38</v>
      </c>
      <c r="I60" s="53"/>
      <c r="J60" s="97"/>
      <c r="K60" s="97"/>
      <c r="L60"/>
      <c r="M60"/>
      <c r="N60"/>
      <c r="O60"/>
      <c r="P60"/>
      <c r="Q60"/>
    </row>
    <row r="61" spans="1:17" x14ac:dyDescent="0.25">
      <c r="A61" s="44" t="s">
        <v>44</v>
      </c>
      <c r="B61" s="44" t="s">
        <v>14</v>
      </c>
      <c r="C61" s="46">
        <v>212.06</v>
      </c>
      <c r="D61" s="34">
        <v>38544</v>
      </c>
      <c r="E61" s="34">
        <v>38544</v>
      </c>
      <c r="F61" s="33">
        <f>Table132[[#This Row],[New position]]-Table132[[#This Row],[Old position]]</f>
        <v>0</v>
      </c>
      <c r="G61" s="34">
        <f>ROUND(Table132[[#This Row],[Target allocation ($)]]/(IF(G85&gt;0, G64,E64)*C24)*100,3)</f>
        <v>3.1440000000000001</v>
      </c>
      <c r="H61" s="39">
        <f>Table132[[#This Row],[New position]]*Table132[[#This Row],[Last_Price]]</f>
        <v>8173640.6399999997</v>
      </c>
      <c r="I61" s="62"/>
      <c r="J61" s="97"/>
      <c r="K61" s="97"/>
      <c r="L61"/>
      <c r="M61"/>
      <c r="N61"/>
      <c r="O61"/>
      <c r="P61"/>
      <c r="Q61"/>
    </row>
    <row r="62" spans="1:17" x14ac:dyDescent="0.25">
      <c r="A62" s="44"/>
      <c r="B62" s="44"/>
      <c r="C62" s="46"/>
      <c r="D62" s="34"/>
      <c r="E62" s="34"/>
      <c r="F62" s="31"/>
      <c r="G62" s="34"/>
      <c r="H62" s="46"/>
      <c r="I62" s="48"/>
      <c r="J62" s="69"/>
      <c r="K62" s="83"/>
      <c r="L62"/>
      <c r="M62"/>
      <c r="N62"/>
      <c r="O62"/>
      <c r="P62"/>
      <c r="Q62"/>
    </row>
    <row r="63" spans="1:17" x14ac:dyDescent="0.25">
      <c r="A63" s="44"/>
      <c r="B63" s="44"/>
      <c r="C63" s="45"/>
      <c r="D63" s="35"/>
      <c r="E63" s="54" t="s">
        <v>41</v>
      </c>
      <c r="F63" s="31"/>
      <c r="G63" s="55" t="s">
        <v>42</v>
      </c>
      <c r="H63" s="46"/>
      <c r="I63" s="48"/>
      <c r="J63" s="69"/>
      <c r="K63" s="83"/>
      <c r="L63"/>
      <c r="M63"/>
      <c r="N63"/>
      <c r="O63"/>
      <c r="P63"/>
      <c r="Q63"/>
    </row>
    <row r="64" spans="1:17" ht="30" x14ac:dyDescent="0.25">
      <c r="A64" s="44" t="s">
        <v>30</v>
      </c>
      <c r="B64" s="44"/>
      <c r="C64" s="45"/>
      <c r="D64" s="35"/>
      <c r="E64" s="34">
        <f xml:space="preserve"> IF(G85&gt;0, (C25+ABS(G85*G64))/C21, C25/C21)</f>
        <v>5.0756044337388238</v>
      </c>
      <c r="F64" s="31"/>
      <c r="G64" s="34">
        <v>5.04</v>
      </c>
      <c r="H64" s="46"/>
      <c r="I64" s="48"/>
      <c r="J64" s="101" t="s">
        <v>73</v>
      </c>
      <c r="K64" s="82" t="s">
        <v>74</v>
      </c>
      <c r="L64"/>
      <c r="M64"/>
      <c r="N64"/>
      <c r="O64"/>
      <c r="P64"/>
      <c r="Q64"/>
    </row>
    <row r="65" spans="1:17" ht="15" customHeight="1" x14ac:dyDescent="0.25">
      <c r="A65" s="34" t="s">
        <v>34</v>
      </c>
      <c r="B65" s="34"/>
      <c r="C65" s="34"/>
      <c r="D65" s="47" t="str">
        <f>Table132[[#This Row],[Symbol]]</f>
        <v>SingleStocks</v>
      </c>
      <c r="E65" s="34">
        <f>ROUND(SUM(0)/100, 3)</f>
        <v>0</v>
      </c>
      <c r="F65" s="47" t="str">
        <f>Table132[[#This Row],[Symbol]]</f>
        <v>SingleStocks</v>
      </c>
      <c r="G65" s="34">
        <f>SUM(0)/(G64*C24)</f>
        <v>0</v>
      </c>
      <c r="H65" s="34"/>
      <c r="I65" s="94"/>
      <c r="J65" s="68" t="s">
        <v>75</v>
      </c>
      <c r="K65" s="104">
        <f>1-SUM(K66:K68)</f>
        <v>0.69927898543632117</v>
      </c>
      <c r="L65"/>
      <c r="M65"/>
      <c r="N65"/>
      <c r="O65"/>
      <c r="P65"/>
      <c r="Q65"/>
    </row>
    <row r="66" spans="1:17" ht="15" customHeight="1" x14ac:dyDescent="0.25">
      <c r="A66" s="44" t="s">
        <v>56</v>
      </c>
      <c r="B66" s="44"/>
      <c r="C66" s="45"/>
      <c r="D66" s="47" t="str">
        <f>Table132[[#This Row],[Symbol]]</f>
        <v>Healthcare</v>
      </c>
      <c r="E66" s="34">
        <f>ROUND(SUM(G28:G28)/100, 3)</f>
        <v>2.5999999999999999E-2</v>
      </c>
      <c r="F66" s="47" t="str">
        <f>Table132[[#This Row],[Symbol]]</f>
        <v>Healthcare</v>
      </c>
      <c r="G66" s="34">
        <f>SUM(H28:H28)/(G64*C24)</f>
        <v>2.5843340206852833E-2</v>
      </c>
      <c r="H66" s="46"/>
      <c r="I66" s="94"/>
      <c r="J66" s="68" t="s">
        <v>76</v>
      </c>
      <c r="K66" s="102">
        <f>(SUM(H38:H52)+H33)/C25</f>
        <v>0.26375316925877024</v>
      </c>
      <c r="L66"/>
      <c r="M66"/>
      <c r="N66"/>
      <c r="O66"/>
      <c r="P66"/>
      <c r="Q66"/>
    </row>
    <row r="67" spans="1:17" ht="15" customHeight="1" x14ac:dyDescent="0.25">
      <c r="A67" s="44" t="s">
        <v>95</v>
      </c>
      <c r="B67" s="44"/>
      <c r="C67" s="45"/>
      <c r="D67" s="47" t="str">
        <f>Table132[[#This Row],[Symbol]]</f>
        <v>Energy</v>
      </c>
      <c r="E67" s="34">
        <f>ROUND(SUM(G29:G29)/100, 3)</f>
        <v>3.6999999999999998E-2</v>
      </c>
      <c r="F67" s="47" t="str">
        <f>Table132[[#This Row],[Symbol]]</f>
        <v>Energy</v>
      </c>
      <c r="G67" s="34">
        <f>SUM(H29:H29)/(G64*C24)</f>
        <v>3.7000772137574481E-2</v>
      </c>
      <c r="H67" s="46"/>
      <c r="I67" s="107"/>
      <c r="J67" s="68"/>
      <c r="K67" s="102"/>
      <c r="L67"/>
      <c r="M67"/>
      <c r="N67"/>
      <c r="O67"/>
      <c r="P67"/>
      <c r="Q67"/>
    </row>
    <row r="68" spans="1:17" ht="15" customHeight="1" x14ac:dyDescent="0.25">
      <c r="A68" s="44" t="s">
        <v>89</v>
      </c>
      <c r="B68" s="44"/>
      <c r="C68" s="45"/>
      <c r="D68" s="47" t="str">
        <f>Table132[[#This Row],[Symbol]]</f>
        <v>Financials</v>
      </c>
      <c r="E68" s="34">
        <f>ROUND(SUM(G30:G30)/100, 3)</f>
        <v>6.5000000000000002E-2</v>
      </c>
      <c r="F68" s="47" t="str">
        <f>Table132[[#This Row],[Symbol]]</f>
        <v>Financials</v>
      </c>
      <c r="G68" s="51">
        <f>SUM(H30:H30)/(G64*C24)</f>
        <v>6.5070824244982339E-2</v>
      </c>
      <c r="H68" s="46"/>
      <c r="I68" s="94"/>
      <c r="J68" s="68" t="s">
        <v>77</v>
      </c>
      <c r="K68" s="103">
        <f>(H61+H54)/C25</f>
        <v>3.6967845304908591E-2</v>
      </c>
      <c r="L68"/>
      <c r="M68"/>
      <c r="N68"/>
      <c r="O68"/>
      <c r="P68"/>
      <c r="Q68"/>
    </row>
    <row r="69" spans="1:17" ht="15" customHeight="1" x14ac:dyDescent="0.25">
      <c r="A69" s="44" t="s">
        <v>90</v>
      </c>
      <c r="B69" s="44"/>
      <c r="C69" s="45"/>
      <c r="D69" s="47" t="str">
        <f>Table132[[#This Row],[Symbol]]</f>
        <v>Techs</v>
      </c>
      <c r="E69" s="51">
        <f>ROUND(SUM(G31:G31)/100, 3)</f>
        <v>6.4000000000000001E-2</v>
      </c>
      <c r="F69" s="47" t="str">
        <f>Table132[[#This Row],[Symbol]]</f>
        <v>Techs</v>
      </c>
      <c r="G69" s="34">
        <f>SUM(H31:H31)/(G64*C24)</f>
        <v>6.4111628734474652E-2</v>
      </c>
      <c r="H69" s="46"/>
      <c r="I69" s="106"/>
      <c r="J69" s="68"/>
      <c r="K69" s="102"/>
      <c r="L69"/>
      <c r="M69"/>
      <c r="N69"/>
      <c r="O69"/>
      <c r="P69"/>
      <c r="Q69"/>
    </row>
    <row r="70" spans="1:17" ht="15" customHeight="1" x14ac:dyDescent="0.25">
      <c r="A70" s="44" t="s">
        <v>50</v>
      </c>
      <c r="B70" s="44"/>
      <c r="C70" s="45"/>
      <c r="D70" s="47" t="str">
        <f>Table132[[#This Row],[Symbol]]</f>
        <v>Semiconductor</v>
      </c>
      <c r="E70" s="34">
        <f>ROUND(SUM(G32:G34)/100, 3)</f>
        <v>0.28699999999999998</v>
      </c>
      <c r="F70" s="47" t="str">
        <f>Table132[[#This Row],[Symbol]]</f>
        <v>Semiconductor</v>
      </c>
      <c r="G70" s="51">
        <f>SUM(H32:H34)/(G64*C24)</f>
        <v>0.2888708822163128</v>
      </c>
      <c r="H70" s="46"/>
      <c r="I70" s="94"/>
      <c r="K70" s="84"/>
      <c r="L70"/>
      <c r="M70"/>
      <c r="N70"/>
      <c r="O70"/>
      <c r="P70"/>
      <c r="Q70"/>
    </row>
    <row r="71" spans="1:17" ht="15.75" customHeight="1" x14ac:dyDescent="0.25">
      <c r="A71" s="44" t="s">
        <v>93</v>
      </c>
      <c r="B71" s="44"/>
      <c r="C71" s="45"/>
      <c r="D71" s="47" t="str">
        <f>Table132[[#This Row],[Symbol]]</f>
        <v>Russell</v>
      </c>
      <c r="E71" s="51">
        <f>ROUND(SUM(G35:G37)/100, 3)</f>
        <v>0.111</v>
      </c>
      <c r="F71" s="47" t="str">
        <f>Table132[[#This Row],[Symbol]]</f>
        <v>Russell</v>
      </c>
      <c r="G71" s="51">
        <f>SUM(H35:H37)/(G64*C24)</f>
        <v>0.11141649217328735</v>
      </c>
      <c r="H71" s="46"/>
      <c r="I71" s="94"/>
      <c r="J71" s="70"/>
      <c r="K71" s="84"/>
      <c r="L71"/>
      <c r="M71"/>
      <c r="N71"/>
      <c r="O71"/>
      <c r="P71"/>
      <c r="Q71"/>
    </row>
    <row r="72" spans="1:17" ht="15.75" customHeight="1" x14ac:dyDescent="0.25">
      <c r="A72" s="44" t="s">
        <v>45</v>
      </c>
      <c r="B72" s="44"/>
      <c r="C72" s="45"/>
      <c r="D72" s="47" t="str">
        <f>Table132[[#This Row],[Symbol]]</f>
        <v>S&amp;P</v>
      </c>
      <c r="E72" s="34">
        <f>ROUND(0/100, 3)</f>
        <v>0</v>
      </c>
      <c r="F72" s="47" t="str">
        <f>Table132[[#This Row],[Symbol]]</f>
        <v>S&amp;P</v>
      </c>
      <c r="G72" s="34">
        <f>SUM(0)/(G64*C24)</f>
        <v>0</v>
      </c>
      <c r="H72" s="46"/>
      <c r="I72" s="94"/>
      <c r="J72" s="70"/>
      <c r="K72" s="84"/>
      <c r="L72"/>
      <c r="M72"/>
      <c r="N72"/>
      <c r="O72"/>
      <c r="P72"/>
      <c r="Q72"/>
    </row>
    <row r="73" spans="1:17" ht="15.75" customHeight="1" x14ac:dyDescent="0.25">
      <c r="A73" s="44" t="s">
        <v>46</v>
      </c>
      <c r="B73" s="44"/>
      <c r="C73" s="45"/>
      <c r="D73" s="47" t="str">
        <f>Table132[[#This Row],[Symbol]]</f>
        <v>Dow Jones</v>
      </c>
      <c r="E73" s="34">
        <f>ROUND(0/100, 3)</f>
        <v>0</v>
      </c>
      <c r="F73" s="47" t="str">
        <f>Table132[[#This Row],[Symbol]]</f>
        <v>Dow Jones</v>
      </c>
      <c r="G73" s="51">
        <f>SUM(0)/(G64*C24)</f>
        <v>0</v>
      </c>
      <c r="H73" s="46"/>
      <c r="I73" s="52"/>
      <c r="J73" s="70"/>
      <c r="K73" s="84"/>
      <c r="L73"/>
      <c r="M73"/>
      <c r="N73"/>
      <c r="O73"/>
      <c r="P73"/>
      <c r="Q73"/>
    </row>
    <row r="74" spans="1:17" ht="14.25" customHeight="1" x14ac:dyDescent="0.25">
      <c r="A74" s="44" t="s">
        <v>49</v>
      </c>
      <c r="B74" s="44"/>
      <c r="C74" s="45"/>
      <c r="D74" s="47" t="str">
        <f>Table132[[#This Row],[Symbol]]</f>
        <v>Int Stocks</v>
      </c>
      <c r="E74" s="34">
        <f>ROUND(SUM(G38:G49)/100, 3)</f>
        <v>0.111</v>
      </c>
      <c r="F74" s="47" t="str">
        <f>Table132[[#This Row],[Symbol]]</f>
        <v>Int Stocks</v>
      </c>
      <c r="G74" s="39">
        <f>SUM(H38:H49)/(G64*C24)</f>
        <v>0.11173064539511995</v>
      </c>
      <c r="H74" s="46"/>
      <c r="I74" s="46"/>
      <c r="J74" s="70"/>
      <c r="K74" s="84"/>
      <c r="L74"/>
      <c r="M74"/>
      <c r="N74"/>
      <c r="O74"/>
      <c r="P74"/>
      <c r="Q74"/>
    </row>
    <row r="75" spans="1:17" ht="14.25" customHeight="1" x14ac:dyDescent="0.25">
      <c r="A75" s="44" t="s">
        <v>63</v>
      </c>
      <c r="B75" s="44"/>
      <c r="C75" s="45"/>
      <c r="D75" s="47" t="str">
        <f>Table132[[#This Row],[Symbol]]</f>
        <v>JP Stocks</v>
      </c>
      <c r="E75" s="34">
        <f>ROUND(SUM(G50:G52)/100, 3)</f>
        <v>7.0999999999999994E-2</v>
      </c>
      <c r="F75" s="47" t="str">
        <f>Table132[[#This Row],[Symbol]]</f>
        <v>JP Stocks</v>
      </c>
      <c r="G75" s="51">
        <f>SUM(H50:H52)/(G64*C24)</f>
        <v>7.1782947295890617E-2</v>
      </c>
      <c r="H75" s="46"/>
      <c r="I75" s="63"/>
      <c r="J75" s="72"/>
      <c r="K75" s="86"/>
      <c r="L75"/>
      <c r="M75"/>
      <c r="N75"/>
      <c r="O75"/>
      <c r="P75"/>
      <c r="Q75"/>
    </row>
    <row r="76" spans="1:17" ht="15.75" customHeight="1" x14ac:dyDescent="0.25">
      <c r="A76" s="44" t="s">
        <v>71</v>
      </c>
      <c r="B76" s="44"/>
      <c r="C76" s="45"/>
      <c r="D76" s="47" t="str">
        <f>Table132[[#This Row],[Symbol]]</f>
        <v>Nasdaq</v>
      </c>
      <c r="E76" s="51">
        <f>ROUND(SUM(G53)/100, 3)</f>
        <v>0.122</v>
      </c>
      <c r="F76" s="47" t="str">
        <f>Table132[[#This Row],[Symbol]]</f>
        <v>Nasdaq</v>
      </c>
      <c r="G76" s="51">
        <f>SUM(H53)/(G64*C24)</f>
        <v>0.1232951453789671</v>
      </c>
      <c r="H76" s="46"/>
      <c r="I76" s="27"/>
      <c r="J76" s="68"/>
      <c r="K76" s="82"/>
      <c r="L76"/>
      <c r="M76"/>
      <c r="N76"/>
      <c r="O76"/>
      <c r="P76"/>
      <c r="Q76"/>
    </row>
    <row r="77" spans="1:17" ht="15.75" customHeight="1" x14ac:dyDescent="0.25">
      <c r="A77" s="58" t="s">
        <v>51</v>
      </c>
      <c r="B77" s="44"/>
      <c r="C77" s="45"/>
      <c r="D77" s="47" t="str">
        <f>Table132[[#This Row],[Symbol]]</f>
        <v>Regional Bank</v>
      </c>
      <c r="E77" s="51">
        <f>ROUND(SUM(0)/100, 3)</f>
        <v>0</v>
      </c>
      <c r="F77" s="47" t="str">
        <f>Table132[[#This Row],[Symbol]]</f>
        <v>Regional Bank</v>
      </c>
      <c r="G77" s="34">
        <f>SUM(0)/(G64*C24)</f>
        <v>0</v>
      </c>
      <c r="H77" s="46"/>
      <c r="I77" s="27"/>
      <c r="J77" s="68"/>
      <c r="K77" s="82"/>
      <c r="L77"/>
      <c r="M77"/>
      <c r="N77"/>
      <c r="O77"/>
      <c r="P77"/>
      <c r="Q77"/>
    </row>
    <row r="78" spans="1:17" ht="15.75" customHeight="1" x14ac:dyDescent="0.25">
      <c r="A78" s="44" t="s">
        <v>54</v>
      </c>
      <c r="B78" s="44"/>
      <c r="C78" s="45"/>
      <c r="D78" s="47" t="str">
        <f>Table132[[#This Row],[Symbol]]</f>
        <v>Short</v>
      </c>
      <c r="E78" s="34">
        <f>ROUND(SUM(0)/100, 3)</f>
        <v>0</v>
      </c>
      <c r="F78" s="47" t="str">
        <f>Table132[[#This Row],[Symbol]]</f>
        <v>Short</v>
      </c>
      <c r="G78" s="51">
        <f>SUM(0)/(G64*C24)</f>
        <v>0</v>
      </c>
      <c r="H78" s="46"/>
      <c r="I78" s="59"/>
      <c r="J78" s="71"/>
      <c r="K78" s="85"/>
      <c r="L78"/>
      <c r="M78"/>
      <c r="N78"/>
      <c r="O78"/>
      <c r="P78"/>
      <c r="Q78"/>
    </row>
    <row r="79" spans="1:17" ht="14.25" customHeight="1" x14ac:dyDescent="0.25">
      <c r="A79" s="34" t="s">
        <v>27</v>
      </c>
      <c r="B79" s="44"/>
      <c r="C79" s="45"/>
      <c r="D79" s="47" t="str">
        <f>Table132[[#This Row],[Symbol]]</f>
        <v>Bonds</v>
      </c>
      <c r="E79" s="34">
        <f>ROUND((SUM(G55:G60))/100, 3)</f>
        <v>7.0000000000000007E-2</v>
      </c>
      <c r="F79" s="47" t="str">
        <f>Table132[[#This Row],[Symbol]]</f>
        <v>Bonds</v>
      </c>
      <c r="G79" s="51">
        <f>(SUM(H55:H60))/(G64*C24)</f>
        <v>7.0712694082303573E-2</v>
      </c>
      <c r="H79" s="46"/>
      <c r="I79" s="27"/>
      <c r="J79" s="68"/>
      <c r="K79" s="82"/>
      <c r="L79"/>
      <c r="M79"/>
      <c r="N79"/>
      <c r="O79"/>
      <c r="P79"/>
      <c r="Q79"/>
    </row>
    <row r="80" spans="1:17" ht="14.25" customHeight="1" x14ac:dyDescent="0.25">
      <c r="A80" s="44" t="s">
        <v>58</v>
      </c>
      <c r="B80" s="44"/>
      <c r="C80" s="45"/>
      <c r="D80" s="47" t="str">
        <f>Table132[[#This Row],[Symbol]]</f>
        <v>Core</v>
      </c>
      <c r="E80" s="34">
        <f>ROUND((SUM(0))/100, 3)</f>
        <v>0</v>
      </c>
      <c r="F80" s="47" t="str">
        <f>Table132[[#This Row],[Symbol]]</f>
        <v>Core</v>
      </c>
      <c r="G80" s="34">
        <f>(SUM(0))/(G64*C24)</f>
        <v>0</v>
      </c>
      <c r="H80" s="46"/>
      <c r="I80" s="60"/>
      <c r="J80" s="73"/>
      <c r="K80" s="87"/>
      <c r="L80"/>
      <c r="M80"/>
      <c r="N80"/>
      <c r="O80"/>
      <c r="P80"/>
      <c r="Q80"/>
    </row>
    <row r="81" spans="1:17" ht="14.25" customHeight="1" x14ac:dyDescent="0.25">
      <c r="A81" s="44" t="s">
        <v>36</v>
      </c>
      <c r="B81" s="34"/>
      <c r="C81" s="34"/>
      <c r="D81" s="47" t="str">
        <f>Table132[[#This Row],[Symbol]]</f>
        <v>Gold</v>
      </c>
      <c r="E81" s="34">
        <f>ROUND(SUM(G61)/100,3)</f>
        <v>3.1E-2</v>
      </c>
      <c r="F81" s="47" t="str">
        <f>Table132[[#This Row],[Symbol]]</f>
        <v>Gold</v>
      </c>
      <c r="G81" s="51">
        <f>SUM(H61)/(G64*C24)</f>
        <v>3.1658091545210577E-2</v>
      </c>
      <c r="H81" s="34"/>
      <c r="I81" s="28"/>
      <c r="J81" s="74"/>
      <c r="K81" s="81"/>
      <c r="L81"/>
      <c r="M81"/>
      <c r="N81"/>
      <c r="O81"/>
      <c r="P81"/>
      <c r="Q81"/>
    </row>
    <row r="82" spans="1:17" ht="15" customHeight="1" x14ac:dyDescent="0.25">
      <c r="A82" s="34" t="s">
        <v>28</v>
      </c>
      <c r="B82" s="34"/>
      <c r="C82" s="34"/>
      <c r="D82" s="47" t="str">
        <f>Table132[[#This Row],[Symbol]]</f>
        <v>Commodities</v>
      </c>
      <c r="E82" s="34">
        <f>ROUND(SUM(G54)/100,3)</f>
        <v>6.0000000000000001E-3</v>
      </c>
      <c r="F82" s="47" t="str">
        <f>Table132[[#This Row],[Symbol]]</f>
        <v>Commodities</v>
      </c>
      <c r="G82" s="34">
        <f>SUM(H54)/(G64*C24)</f>
        <v>5.5709083625999425E-3</v>
      </c>
      <c r="H82" s="34"/>
      <c r="I82" s="29"/>
      <c r="J82" s="75"/>
      <c r="K82" s="88"/>
      <c r="L82"/>
      <c r="M82"/>
      <c r="N82"/>
      <c r="O82"/>
      <c r="P82"/>
      <c r="Q82"/>
    </row>
    <row r="83" spans="1:17" ht="14.25" customHeight="1" x14ac:dyDescent="0.25">
      <c r="A83" s="44" t="s">
        <v>35</v>
      </c>
      <c r="B83" s="44"/>
      <c r="C83" s="45"/>
      <c r="D83" s="47" t="str">
        <f>Table132[[#This Row],[Symbol]]</f>
        <v>Crypto</v>
      </c>
      <c r="E83" s="51">
        <f>ROUND(SUM(0)/100,3)</f>
        <v>0</v>
      </c>
      <c r="F83" s="47" t="str">
        <f>Table132[[#This Row],[Symbol]]</f>
        <v>Crypto</v>
      </c>
      <c r="G83" s="51">
        <f>SUM(0)/(G64*C24)</f>
        <v>0</v>
      </c>
      <c r="H83" s="46"/>
      <c r="I83" s="50"/>
      <c r="J83" s="76"/>
      <c r="K83" s="89"/>
      <c r="L83"/>
      <c r="M83"/>
      <c r="N83"/>
      <c r="O83"/>
      <c r="P83"/>
      <c r="Q83"/>
    </row>
    <row r="84" spans="1:17" ht="14.25" customHeight="1" x14ac:dyDescent="0.25">
      <c r="A84" s="34" t="s">
        <v>23</v>
      </c>
      <c r="B84" s="34"/>
      <c r="C84" s="34"/>
      <c r="D84" s="47" t="str">
        <f>Table132[[#This Row],[Symbol]]</f>
        <v>Cash</v>
      </c>
      <c r="E84" s="34">
        <f>1-SUM(E65:E83)</f>
        <v>-9.9999999999988987E-4</v>
      </c>
      <c r="F84" s="47" t="str">
        <f>Table132[[#This Row],[Symbol]]</f>
        <v>Cash</v>
      </c>
      <c r="G84" s="34">
        <f>1-SUM(G65:G83)</f>
        <v>-7.0643717735761058E-3</v>
      </c>
      <c r="H84" s="34"/>
      <c r="I84" s="27"/>
      <c r="J84" s="68"/>
      <c r="K84" s="82"/>
      <c r="L84"/>
      <c r="M84"/>
      <c r="N84"/>
      <c r="O84"/>
      <c r="P84"/>
      <c r="Q84"/>
    </row>
    <row r="85" spans="1:17" x14ac:dyDescent="0.25">
      <c r="A85" s="25" t="s">
        <v>29</v>
      </c>
      <c r="B85" s="25"/>
      <c r="C85" s="32"/>
      <c r="D85" s="31"/>
      <c r="E85" s="39">
        <f>C24*E84</f>
        <v>-51227.159189994352</v>
      </c>
      <c r="F85" s="31"/>
      <c r="G85" s="34">
        <f>C24*G84</f>
        <v>-361887.69742232579</v>
      </c>
      <c r="H85" s="39"/>
      <c r="I85" s="30"/>
      <c r="J85" s="77"/>
      <c r="K85" s="90"/>
      <c r="L85"/>
      <c r="M85"/>
      <c r="N85"/>
      <c r="O85"/>
      <c r="P85"/>
      <c r="Q85"/>
    </row>
    <row r="86" spans="1:17" x14ac:dyDescent="0.25">
      <c r="A86" s="25"/>
      <c r="B86" s="25"/>
      <c r="C86" s="32"/>
      <c r="D86" s="25"/>
      <c r="E86" s="25"/>
      <c r="F86" s="25"/>
      <c r="G86" s="34"/>
      <c r="H86" s="39"/>
      <c r="I86" s="27"/>
      <c r="J86" s="68"/>
      <c r="K86" s="82"/>
      <c r="L86"/>
      <c r="M86"/>
      <c r="N86"/>
      <c r="O86"/>
      <c r="P86"/>
      <c r="Q86"/>
    </row>
    <row r="87" spans="1:17" x14ac:dyDescent="0.25">
      <c r="A87" s="25"/>
      <c r="B87" s="25"/>
      <c r="C87" s="32"/>
      <c r="D87" s="25"/>
      <c r="E87" s="25"/>
      <c r="F87" s="31"/>
      <c r="G87" s="34"/>
      <c r="H87" s="39"/>
      <c r="I87" s="27"/>
      <c r="J87" s="68"/>
      <c r="K87" s="82"/>
      <c r="L87"/>
      <c r="M87"/>
      <c r="N87"/>
      <c r="O87"/>
      <c r="P87"/>
      <c r="Q87"/>
    </row>
    <row r="88" spans="1:17" x14ac:dyDescent="0.25">
      <c r="A88" s="25"/>
      <c r="B88" s="25"/>
      <c r="C88" s="32"/>
      <c r="D88" s="25"/>
      <c r="E88" s="25"/>
      <c r="F88" s="31"/>
      <c r="G88" s="34"/>
      <c r="H88" s="39"/>
      <c r="I88" s="27"/>
      <c r="J88" s="68"/>
      <c r="K88" s="82"/>
      <c r="L88"/>
      <c r="M88"/>
      <c r="N88"/>
      <c r="O88"/>
      <c r="P88"/>
      <c r="Q88"/>
    </row>
    <row r="89" spans="1:17" x14ac:dyDescent="0.25">
      <c r="A89" s="20"/>
      <c r="B89" s="5" t="s">
        <v>21</v>
      </c>
      <c r="D89" s="1"/>
      <c r="E89" s="5" t="s">
        <v>20</v>
      </c>
      <c r="F89" s="1"/>
      <c r="G89" s="5"/>
      <c r="H89" s="40" t="s">
        <v>2</v>
      </c>
      <c r="I89" s="4"/>
      <c r="J89" s="78"/>
      <c r="K89" s="91"/>
      <c r="L89"/>
      <c r="M89"/>
      <c r="N89"/>
      <c r="O89"/>
      <c r="P89"/>
      <c r="Q89"/>
    </row>
    <row r="90" spans="1:17" x14ac:dyDescent="0.25">
      <c r="B90" s="5" t="s">
        <v>24</v>
      </c>
      <c r="D90" s="1"/>
      <c r="E90" s="5" t="s">
        <v>24</v>
      </c>
      <c r="F90" s="1"/>
      <c r="G90" s="5"/>
      <c r="H90" s="40" t="s">
        <v>3</v>
      </c>
      <c r="L90"/>
      <c r="M90"/>
      <c r="N90"/>
      <c r="O90"/>
      <c r="P90"/>
      <c r="Q90"/>
    </row>
    <row r="91" spans="1:17" x14ac:dyDescent="0.25">
      <c r="B91" s="3"/>
      <c r="C91"/>
      <c r="D91" s="1"/>
      <c r="E91" s="3"/>
      <c r="F91" s="19"/>
      <c r="G91" s="3"/>
      <c r="H91" s="41"/>
      <c r="L91"/>
      <c r="M91"/>
      <c r="N91"/>
      <c r="O91"/>
      <c r="P91"/>
      <c r="Q91"/>
    </row>
    <row r="92" spans="1:17" x14ac:dyDescent="0.25">
      <c r="C92"/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  <row r="94" spans="1:17" x14ac:dyDescent="0.25">
      <c r="L94"/>
      <c r="M94"/>
      <c r="N94"/>
      <c r="O94"/>
      <c r="P94"/>
      <c r="Q94"/>
    </row>
    <row r="95" spans="1:17" x14ac:dyDescent="0.25"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2024-05-06T06:20:07Z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