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4-2024/"/>
    </mc:Choice>
  </mc:AlternateContent>
  <xr:revisionPtr revIDLastSave="4635" documentId="14_{A48F4B07-3EF3-43E5-91B2-4CA340E6013A}" xr6:coauthVersionLast="47" xr6:coauthVersionMax="47" xr10:uidLastSave="{131E4523-9677-4906-BAF0-D16259CBE39C}"/>
  <bookViews>
    <workbookView xWindow="-240" yWindow="-163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2" i="3" l="1"/>
  <c r="H62" i="3"/>
  <c r="H51" i="3" l="1"/>
  <c r="F51" i="3"/>
  <c r="H48" i="3" l="1"/>
  <c r="F48" i="3"/>
  <c r="H47" i="3"/>
  <c r="F47" i="3"/>
  <c r="H45" i="3" l="1"/>
  <c r="H46" i="3"/>
  <c r="F44" i="3"/>
  <c r="F45" i="3"/>
  <c r="F46" i="3"/>
  <c r="H44" i="3" l="1"/>
  <c r="F70" i="3"/>
  <c r="D70" i="3"/>
  <c r="F29" i="3" l="1"/>
  <c r="H29" i="3"/>
  <c r="F71" i="3" l="1"/>
  <c r="F72" i="3"/>
  <c r="D71" i="3"/>
  <c r="D72" i="3"/>
  <c r="H30" i="3"/>
  <c r="H31" i="3"/>
  <c r="F30" i="3"/>
  <c r="F31" i="3"/>
  <c r="H34" i="3"/>
  <c r="F34" i="3"/>
  <c r="H35" i="3" l="1"/>
  <c r="H36" i="3"/>
  <c r="H37" i="3"/>
  <c r="F35" i="3"/>
  <c r="F36" i="3"/>
  <c r="F37" i="3"/>
  <c r="F56" i="3"/>
  <c r="H56" i="3"/>
  <c r="E81" i="3" l="1"/>
  <c r="E86" i="3" l="1"/>
  <c r="F55" i="3"/>
  <c r="H55" i="3" l="1"/>
  <c r="E83" i="3"/>
  <c r="E80" i="3"/>
  <c r="H28" i="3"/>
  <c r="F28" i="3"/>
  <c r="E68" i="3"/>
  <c r="H32" i="3"/>
  <c r="F32" i="3"/>
  <c r="F49" i="3" l="1"/>
  <c r="H49" i="3"/>
  <c r="E76" i="3" l="1"/>
  <c r="E75" i="3"/>
  <c r="F53" i="3"/>
  <c r="F78" i="3" l="1"/>
  <c r="D78" i="3"/>
  <c r="F64" i="3" l="1"/>
  <c r="H64" i="3"/>
  <c r="H53" i="3" l="1"/>
  <c r="H52" i="3"/>
  <c r="F52" i="3"/>
  <c r="D83" i="3" l="1"/>
  <c r="F83" i="3"/>
  <c r="D69" i="3" l="1"/>
  <c r="D73" i="3"/>
  <c r="D74" i="3"/>
  <c r="D75" i="3"/>
  <c r="D76" i="3"/>
  <c r="D77" i="3"/>
  <c r="D79" i="3"/>
  <c r="D80" i="3"/>
  <c r="D81" i="3"/>
  <c r="D82" i="3"/>
  <c r="D84" i="3"/>
  <c r="D85" i="3"/>
  <c r="D86" i="3"/>
  <c r="D87" i="3"/>
  <c r="F69" i="3"/>
  <c r="H43" i="3"/>
  <c r="F43" i="3"/>
  <c r="F50" i="3"/>
  <c r="H50" i="3"/>
  <c r="F42" i="3" l="1"/>
  <c r="H42" i="3"/>
  <c r="F81" i="3"/>
  <c r="D68" i="3" l="1"/>
  <c r="F77" i="3"/>
  <c r="F75" i="3"/>
  <c r="F74" i="3"/>
  <c r="F73" i="3"/>
  <c r="F68" i="3"/>
  <c r="F80" i="3"/>
  <c r="F76" i="3" l="1"/>
  <c r="F79" i="3"/>
  <c r="F82" i="3"/>
  <c r="F84" i="3"/>
  <c r="F85" i="3"/>
  <c r="F86" i="3"/>
  <c r="F87" i="3"/>
  <c r="H59" i="3" l="1"/>
  <c r="H58" i="3" l="1"/>
  <c r="H60" i="3"/>
  <c r="H61" i="3"/>
  <c r="H63" i="3"/>
  <c r="F58" i="3"/>
  <c r="F59" i="3"/>
  <c r="F60" i="3"/>
  <c r="F61" i="3"/>
  <c r="F63" i="3"/>
  <c r="F38" i="3" l="1"/>
  <c r="F39" i="3"/>
  <c r="F40" i="3"/>
  <c r="F54" i="3"/>
  <c r="F57" i="3"/>
  <c r="H57" i="3"/>
  <c r="H38" i="3" l="1"/>
  <c r="H39" i="3"/>
  <c r="H54" i="3" l="1"/>
  <c r="H33" i="3"/>
  <c r="H41" i="3" l="1"/>
  <c r="H40" i="3"/>
  <c r="C25" i="3" l="1" a="1"/>
  <c r="C25" i="3" s="1"/>
  <c r="K69" i="3" s="1"/>
  <c r="K71" i="3" l="1"/>
  <c r="F41" i="3"/>
  <c r="K68" i="3" l="1"/>
  <c r="F33" i="3"/>
  <c r="C24" i="3"/>
  <c r="C11" i="3" l="1"/>
  <c r="G77" i="3"/>
  <c r="C16" i="3"/>
  <c r="G70" i="3"/>
  <c r="C6" i="3"/>
  <c r="C5" i="3"/>
  <c r="C4" i="3"/>
  <c r="G72" i="3"/>
  <c r="G69" i="3"/>
  <c r="G71" i="3"/>
  <c r="G73" i="3"/>
  <c r="C7" i="3"/>
  <c r="C8" i="3"/>
  <c r="G74" i="3"/>
  <c r="G85" i="3"/>
  <c r="G82" i="3"/>
  <c r="G81" i="3"/>
  <c r="C15" i="3"/>
  <c r="C19" i="3"/>
  <c r="G86" i="3"/>
  <c r="G79" i="3"/>
  <c r="C13" i="3"/>
  <c r="C18" i="3"/>
  <c r="G83" i="3"/>
  <c r="G80" i="3"/>
  <c r="C14" i="3"/>
  <c r="G68" i="3"/>
  <c r="C3" i="3"/>
  <c r="C12" i="3"/>
  <c r="C20" i="3"/>
  <c r="C17" i="3"/>
  <c r="G84" i="3"/>
  <c r="C9" i="3"/>
  <c r="G75" i="3"/>
  <c r="C10" i="3"/>
  <c r="G76" i="3"/>
  <c r="G78" i="3"/>
  <c r="C2" i="3"/>
  <c r="G87" i="3" l="1"/>
  <c r="G88" i="3" s="1"/>
  <c r="E67" i="3" l="1"/>
  <c r="G31" i="3" s="1"/>
  <c r="E72" i="3" s="1"/>
  <c r="G62" i="3" l="1"/>
  <c r="G61" i="3"/>
  <c r="G51" i="3"/>
  <c r="G50" i="3"/>
  <c r="G47" i="3"/>
  <c r="G48" i="3"/>
  <c r="G46" i="3"/>
  <c r="G45" i="3"/>
  <c r="G44" i="3"/>
  <c r="G43" i="3"/>
  <c r="G42" i="3"/>
  <c r="G29" i="3"/>
  <c r="E70" i="3" s="1"/>
  <c r="G28" i="3"/>
  <c r="E69" i="3" s="1"/>
  <c r="G56" i="3"/>
  <c r="E85" i="3" s="1"/>
  <c r="G38" i="3"/>
  <c r="G36" i="3"/>
  <c r="G60" i="3"/>
  <c r="G59" i="3"/>
  <c r="G57" i="3"/>
  <c r="G32" i="3"/>
  <c r="G55" i="3"/>
  <c r="E79" i="3" s="1"/>
  <c r="G35" i="3"/>
  <c r="G39" i="3"/>
  <c r="G53" i="3"/>
  <c r="G52" i="3"/>
  <c r="G54" i="3"/>
  <c r="G58" i="3"/>
  <c r="G37" i="3"/>
  <c r="G34" i="3"/>
  <c r="G33" i="3"/>
  <c r="G30" i="3"/>
  <c r="E71" i="3" s="1"/>
  <c r="G41" i="3"/>
  <c r="G64" i="3"/>
  <c r="E84" i="3" s="1"/>
  <c r="G63" i="3"/>
  <c r="G40" i="3"/>
  <c r="G49" i="3"/>
  <c r="E77" i="3" l="1"/>
  <c r="E73" i="3"/>
  <c r="E78" i="3"/>
  <c r="E74" i="3"/>
  <c r="E82" i="3"/>
  <c r="E87" i="3" l="1"/>
  <c r="E88" i="3" s="1"/>
</calcChain>
</file>

<file path=xl/sharedStrings.xml><?xml version="1.0" encoding="utf-8"?>
<sst xmlns="http://schemas.openxmlformats.org/spreadsheetml/2006/main" count="137" uniqueCount="99">
  <si>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</si>
  <si>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</si>
  <si>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</si>
  <si>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</si>
  <si>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</si>
  <si>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</si>
  <si>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</si>
  <si>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</si>
  <si>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</si>
  <si>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</si>
  <si>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</si>
  <si>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</si>
  <si>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</si>
  <si>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</si>
  <si>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</si>
  <si>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</si>
  <si>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</si>
  <si>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</si>
  <si>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</si>
  <si>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</si>
  <si>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</si>
  <si>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</si>
  <si>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</si>
  <si>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</si>
  <si>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</si>
  <si>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</si>
  <si>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</si>
  <si>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</si>
  <si>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</si>
  <si>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</si>
  <si>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</si>
  <si>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</si>
  <si>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</si>
  <si>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</si>
  <si>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</si>
  <si>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</si>
  <si>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</si>
  <si>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</si>
  <si>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</si>
  <si>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</si>
  <si>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</si>
  <si>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</si>
  <si>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</si>
  <si>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</si>
  <si>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</si>
  <si>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</si>
  <si>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</si>
  <si>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</si>
  <si>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</si>
  <si>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</si>
  <si>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</si>
  <si>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</si>
  <si>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</si>
  <si>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</si>
  <si>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</si>
  <si>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</si>
  <si>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</si>
  <si>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</si>
  <si>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</si>
  <si>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</si>
  <si>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</si>
  <si>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</si>
  <si>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</si>
  <si>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</si>
  <si>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</si>
  <si>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</si>
  <si>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</si>
  <si>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</si>
  <si>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</si>
  <si>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</si>
  <si>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</si>
  <si>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</si>
  <si>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</si>
  <si>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</si>
  <si>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</si>
  <si>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</si>
  <si>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</si>
  <si>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</si>
  <si>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</si>
  <si>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</si>
  <si>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</si>
  <si>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</si>
  <si>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</si>
  <si>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</si>
  <si>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</si>
  <si>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</si>
  <si>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</si>
  <si>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</si>
  <si>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</si>
  <si>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</si>
  <si>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</si>
  <si>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</si>
  <si>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</si>
  <si>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</si>
  <si>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</si>
  <si>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</si>
  <si>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Market</t>
  </si>
  <si>
    <t>EWI</t>
  </si>
  <si>
    <t>FPE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</si>
</sst>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164" fontId="25" fillId="2" borderId="1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Sheet1!$D$68:$D$87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Sheet1!$E$68:$E$87</c:f>
              <c:numCache>
                <c:formatCode>General</c:formatCode>
                <c:ptCount val="20"/>
                <c:pt idx="0">
                  <c:v>0</c:v>
                </c:pt>
                <c:pt idx="1">
                  <c:v>2.5000000000000001E-2</c:v>
                </c:pt>
                <c:pt idx="2">
                  <c:v>3.5999999999999997E-2</c:v>
                </c:pt>
                <c:pt idx="3">
                  <c:v>6.3E-2</c:v>
                </c:pt>
                <c:pt idx="4">
                  <c:v>6.2E-2</c:v>
                </c:pt>
                <c:pt idx="5">
                  <c:v>0.28399999999999997</c:v>
                </c:pt>
                <c:pt idx="6">
                  <c:v>0.108</c:v>
                </c:pt>
                <c:pt idx="7">
                  <c:v>0</c:v>
                </c:pt>
                <c:pt idx="8">
                  <c:v>0</c:v>
                </c:pt>
                <c:pt idx="9">
                  <c:v>0.12</c:v>
                </c:pt>
                <c:pt idx="10">
                  <c:v>7.0000000000000007E-2</c:v>
                </c:pt>
                <c:pt idx="11">
                  <c:v>0.12</c:v>
                </c:pt>
                <c:pt idx="12">
                  <c:v>0</c:v>
                </c:pt>
                <c:pt idx="13">
                  <c:v>0</c:v>
                </c:pt>
                <c:pt idx="14">
                  <c:v>7.4999999999999997E-2</c:v>
                </c:pt>
                <c:pt idx="15">
                  <c:v>0</c:v>
                </c:pt>
                <c:pt idx="16">
                  <c:v>3.1E-2</c:v>
                </c:pt>
                <c:pt idx="17">
                  <c:v>5.0000000000000001E-3</c:v>
                </c:pt>
                <c:pt idx="18">
                  <c:v>0</c:v>
                </c:pt>
                <c:pt idx="19">
                  <c:v>1.0000000000000009E-3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3E-4F17-803B-CCDCEDB050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7B4-4346-BAF7-6C57E15A0B45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3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63E-4F17-803B-CCDCEDB050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Sheet1!$J$68:$J$72</c:f>
              <c:strCache>
                <c:ptCount val="4"/>
                <c:pt idx="0">
                  <c:v> US </c:v>
                </c:pt>
                <c:pt idx="1">
                  <c:v> International </c:v>
                </c:pt>
                <c:pt idx="3">
                  <c:v> Commodity </c:v>
                </c:pt>
              </c:strCache>
            </c:strRef>
          </c:cat>
          <c:val>
            <c:numRef>
              <c:f>Sheet1!$K$68:$K$72</c:f>
              <c:numCache>
                <c:formatCode>0%</c:formatCode>
                <c:ptCount val="5"/>
                <c:pt idx="0">
                  <c:v>0.69427469379955775</c:v>
                </c:pt>
                <c:pt idx="1">
                  <c:v>0.26905114882788228</c:v>
                </c:pt>
                <c:pt idx="3">
                  <c:v>3.6674157372559982E-2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1" totalsRowShown="0" headerRowDxfId="13" dataDxfId="11" headerRowBorderDxfId="12" tableBorderDxfId="10" totalsRowBorderDxfId="9">
  <autoFilter ref="A27:I91" xr:uid="{00000000-0009-0000-0100-000001000000}"/>
  <sortState xmlns:xlrd2="http://schemas.microsoft.com/office/spreadsheetml/2017/richdata2" ref="A28:I90">
    <sortCondition ref="A27:A9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9"/>
  <sheetViews>
    <sheetView tabSelected="1" topLeftCell="A46" zoomScale="120" zoomScaleNormal="120" workbookViewId="0">
      <selection activeCell="K53" sqref="K53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8" t="s">
        <v>0</v>
      </c>
      <c r="B1" s="108"/>
      <c r="C1" s="12">
        <v>45390</v>
      </c>
      <c r="E1" s="14"/>
      <c r="F1" s="14"/>
      <c r="G1" s="43"/>
      <c r="H1" s="14"/>
      <c r="J1" s="66"/>
      <c r="K1" s="80"/>
    </row>
    <row r="2" spans="1:12" s="13" customFormat="1" x14ac:dyDescent="0.25">
      <c r="A2" s="108" t="s">
        <v>10</v>
      </c>
      <c r="B2" s="108"/>
      <c r="C2" s="15">
        <f>C25/C24</f>
        <v>5.1084619686688502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10" t="s">
        <v>81</v>
      </c>
      <c r="B3" s="111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55</v>
      </c>
      <c r="B4" s="57"/>
      <c r="C4" s="15">
        <f>SUM(H28:H28)/C24</f>
        <v>0.12782226409797479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91</v>
      </c>
      <c r="B5" s="57"/>
      <c r="C5" s="15">
        <f>SUM(H30:H30)/C24</f>
        <v>0.3235038509253686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92</v>
      </c>
      <c r="B6" s="57"/>
      <c r="C6" s="15">
        <f>SUM(H31:H31)/C24</f>
        <v>0.31733099146082472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SUM(H32:H34)/C24</f>
        <v>1.4531576128923829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10" t="s">
        <v>85</v>
      </c>
      <c r="B8" s="111"/>
      <c r="C8" s="15">
        <f>SUM(H35:H37)/C24</f>
        <v>0.55059532999641636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82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83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10" t="s">
        <v>39</v>
      </c>
      <c r="B11" s="111"/>
      <c r="C11" s="15">
        <f>SUM(H38:H51)/C24</f>
        <v>0.61216442426534279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10" t="s">
        <v>64</v>
      </c>
      <c r="B12" s="111"/>
      <c r="C12" s="15">
        <f>SUM(H52:H54)/C24</f>
        <v>0.35769911178412522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10" t="s">
        <v>72</v>
      </c>
      <c r="B13" s="111"/>
      <c r="C13" s="15">
        <f>SUM(H55)/C24</f>
        <v>0.61172388609955308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84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57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10" t="s">
        <v>26</v>
      </c>
      <c r="B16" s="111"/>
      <c r="C16" s="15">
        <f>SUM(H56)/C24</f>
        <v>2.7455083617119461E-2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10" t="s">
        <v>25</v>
      </c>
      <c r="B17" s="111"/>
      <c r="C17" s="15">
        <f>SUM(H57:H63)/C24</f>
        <v>0.38492291034727866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59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9" t="s">
        <v>37</v>
      </c>
      <c r="B19" s="109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10" t="s">
        <v>38</v>
      </c>
      <c r="B20" s="111"/>
      <c r="C20" s="15">
        <f>SUM(H64)/C24</f>
        <v>0.15989345455357951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8" t="s">
        <v>8</v>
      </c>
      <c r="B21" s="108"/>
      <c r="C21" s="18">
        <v>52498161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8" t="s">
        <v>6</v>
      </c>
      <c r="B22" s="108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8" t="s">
        <v>7</v>
      </c>
      <c r="B23" s="108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8" t="s">
        <v>9</v>
      </c>
      <c r="B24" s="108"/>
      <c r="C24" s="18">
        <f>C21+C22-C23</f>
        <v>52498161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9" t="s">
        <v>5</v>
      </c>
      <c r="B25" s="109"/>
      <c r="C25" s="11">
        <f t="array" ref="C25">SUM(ABS(Table132[Target allocation ($)]))</f>
        <v>268184858.89355424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67</v>
      </c>
      <c r="K27" s="93" t="s">
        <v>68</v>
      </c>
    </row>
    <row r="28" spans="1:17" x14ac:dyDescent="0.25">
      <c r="A28" s="44" t="s">
        <v>70</v>
      </c>
      <c r="B28" s="34" t="s">
        <v>14</v>
      </c>
      <c r="C28" s="94">
        <v>142.76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($)]]/(IF(G88&gt;0, G67,E67)*C24)*100,3)</f>
        <v>2.5009999999999999</v>
      </c>
      <c r="H28" s="39">
        <f>Table132[[#This Row],[New position]]*Table132[[#This Row],[Last_Price]]</f>
        <v>6710433.7999999998</v>
      </c>
      <c r="I28" s="98"/>
      <c r="J28" s="95"/>
      <c r="K28" s="95"/>
      <c r="L28"/>
      <c r="M28"/>
      <c r="N28"/>
      <c r="O28"/>
      <c r="P28"/>
      <c r="Q28"/>
    </row>
    <row r="29" spans="1:17" x14ac:dyDescent="0.25">
      <c r="A29" s="44" t="s">
        <v>94</v>
      </c>
      <c r="B29" s="34" t="s">
        <v>14</v>
      </c>
      <c r="C29" s="94">
        <v>97.6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($)]]/(IF(G88&gt;0, G67,E67)*C24)*100,3)</f>
        <v>3.5649999999999999</v>
      </c>
      <c r="H29" s="39">
        <f>Table132[[#This Row],[New position]]*Table132[[#This Row],[Last_Price]]</f>
        <v>9564800</v>
      </c>
      <c r="I29" s="98"/>
      <c r="J29" s="95"/>
      <c r="K29" s="95"/>
      <c r="L29"/>
      <c r="M29"/>
      <c r="N29"/>
      <c r="O29"/>
      <c r="P29"/>
      <c r="Q29"/>
    </row>
    <row r="30" spans="1:17" x14ac:dyDescent="0.25">
      <c r="A30" s="44" t="s">
        <v>87</v>
      </c>
      <c r="B30" s="44" t="s">
        <v>14</v>
      </c>
      <c r="C30" s="94">
        <v>41.75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($)]]/(IF(G88&gt;0, G67,E67)*C24)*100,3)</f>
        <v>6.3310000000000004</v>
      </c>
      <c r="H30" s="39">
        <f>Table132[[#This Row],[New position]]*Table132[[#This Row],[Last_Price]]</f>
        <v>16983357.25</v>
      </c>
      <c r="I30" s="106"/>
      <c r="J30" s="95"/>
      <c r="K30" s="95"/>
      <c r="L30"/>
      <c r="M30"/>
      <c r="N30"/>
      <c r="O30"/>
      <c r="P30"/>
      <c r="Q30"/>
    </row>
    <row r="31" spans="1:17" x14ac:dyDescent="0.25">
      <c r="A31" s="34" t="s">
        <v>88</v>
      </c>
      <c r="B31" s="34" t="s">
        <v>14</v>
      </c>
      <c r="C31" s="94">
        <v>206.21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($)]]/(IF(G88&gt;0, G67,E67)*C24)*100,3)</f>
        <v>6.21</v>
      </c>
      <c r="H31" s="39">
        <f>Table132[[#This Row],[New position]]*Table132[[#This Row],[Last_Price]]</f>
        <v>16659293.48</v>
      </c>
      <c r="I31" s="106"/>
      <c r="J31" s="95"/>
      <c r="K31" s="95"/>
      <c r="L31"/>
      <c r="M31"/>
      <c r="N31"/>
      <c r="O31"/>
      <c r="P31"/>
      <c r="Q31"/>
    </row>
    <row r="32" spans="1:17" x14ac:dyDescent="0.25">
      <c r="A32" s="44" t="s">
        <v>69</v>
      </c>
      <c r="B32" s="44" t="s">
        <v>14</v>
      </c>
      <c r="C32" s="94">
        <v>225</v>
      </c>
      <c r="D32" s="34">
        <v>204040</v>
      </c>
      <c r="E32" s="34">
        <v>208484</v>
      </c>
      <c r="F32" s="33">
        <f>Table132[[#This Row],[New position]]-Table132[[#This Row],[Old position]]</f>
        <v>4444</v>
      </c>
      <c r="G32" s="34">
        <f>ROUND(Table132[[#This Row],[Target allocation ($)]]/(IF(G88&gt;0, G67,E67)*C24)*100,3)</f>
        <v>17.486000000000001</v>
      </c>
      <c r="H32" s="39">
        <f>Table132[[#This Row],[New position]]*Table132[[#This Row],[Last_Price]]</f>
        <v>46908900</v>
      </c>
      <c r="I32" s="27"/>
      <c r="J32" s="95" t="s">
        <v>96</v>
      </c>
      <c r="K32" s="95">
        <v>222.64</v>
      </c>
      <c r="L32"/>
      <c r="M32"/>
      <c r="N32"/>
      <c r="O32"/>
      <c r="P32"/>
      <c r="Q32"/>
    </row>
    <row r="33" spans="1:17" x14ac:dyDescent="0.25">
      <c r="A33" s="34" t="s">
        <v>60</v>
      </c>
      <c r="B33" s="34" t="s">
        <v>14</v>
      </c>
      <c r="C33" s="94">
        <v>66.239999999999995</v>
      </c>
      <c r="D33" s="34">
        <v>320643</v>
      </c>
      <c r="E33" s="34">
        <v>320643</v>
      </c>
      <c r="F33" s="33">
        <f>Table132[[#This Row],[New position]]-Table132[[#This Row],[Old position]]</f>
        <v>0</v>
      </c>
      <c r="G33" s="34">
        <f>ROUND(Table132[[#This Row],[Target allocation ($)]]/(IF(G88&gt;0, G67,E67)*C24)*100,3)</f>
        <v>7.9169999999999998</v>
      </c>
      <c r="H33" s="39">
        <f>Table132[[#This Row],[New position]]*Table132[[#This Row],[Last_Price]]</f>
        <v>21239392.319999997</v>
      </c>
      <c r="I33" s="27"/>
      <c r="J33" s="95"/>
      <c r="K33" s="95"/>
      <c r="L33"/>
      <c r="M33"/>
      <c r="N33"/>
      <c r="O33"/>
      <c r="P33"/>
      <c r="Q33"/>
    </row>
    <row r="34" spans="1:17" x14ac:dyDescent="0.25">
      <c r="A34" s="44" t="s">
        <v>86</v>
      </c>
      <c r="B34" s="44" t="s">
        <v>14</v>
      </c>
      <c r="C34" s="94">
        <v>871.5</v>
      </c>
      <c r="D34" s="34">
        <v>9340</v>
      </c>
      <c r="E34" s="34">
        <v>9340</v>
      </c>
      <c r="F34" s="33">
        <f>Table132[[#This Row],[New position]]-Table132[[#This Row],[Old position]]</f>
        <v>0</v>
      </c>
      <c r="G34" s="34">
        <f>ROUND(Table132[[#This Row],[Target allocation ($)]]/(IF(G88&gt;0, G67,E67)*C24)*100,3)</f>
        <v>3.0339999999999998</v>
      </c>
      <c r="H34" s="39">
        <f>Table132[[#This Row],[New position]]*Table132[[#This Row],[Last_Price]]</f>
        <v>8139810</v>
      </c>
      <c r="I34" s="105"/>
      <c r="J34" s="95"/>
      <c r="K34" s="95"/>
      <c r="L34"/>
      <c r="M34"/>
      <c r="N34"/>
      <c r="O34"/>
      <c r="P34"/>
      <c r="Q34"/>
    </row>
    <row r="35" spans="1:17" x14ac:dyDescent="0.25">
      <c r="A35" s="44" t="s">
        <v>78</v>
      </c>
      <c r="B35" s="34" t="s">
        <v>14</v>
      </c>
      <c r="C35" s="94">
        <v>57.7</v>
      </c>
      <c r="D35" s="34">
        <v>267138</v>
      </c>
      <c r="E35" s="34">
        <v>267138</v>
      </c>
      <c r="F35" s="33">
        <f>Table132[[#This Row],[New position]]-Table132[[#This Row],[Old position]]</f>
        <v>0</v>
      </c>
      <c r="G35" s="34">
        <f>ROUND(Table132[[#This Row],[Target allocation ($)]]/(IF(G88&gt;0, G67,E67)*C24)*100,3)</f>
        <v>5.7460000000000004</v>
      </c>
      <c r="H35" s="39">
        <f>Table132[[#This Row],[New position]]*Table132[[#This Row],[Last_Price]]</f>
        <v>15413862.600000001</v>
      </c>
      <c r="I35" s="105"/>
      <c r="J35" s="95"/>
      <c r="K35" s="95"/>
      <c r="L35"/>
      <c r="M35"/>
      <c r="N35"/>
      <c r="O35"/>
      <c r="P35"/>
      <c r="Q35"/>
    </row>
    <row r="36" spans="1:17" x14ac:dyDescent="0.25">
      <c r="A36" s="44" t="s">
        <v>79</v>
      </c>
      <c r="B36" s="44" t="s">
        <v>14</v>
      </c>
      <c r="C36" s="94">
        <v>205.13</v>
      </c>
      <c r="D36" s="34">
        <v>58224</v>
      </c>
      <c r="E36" s="34">
        <v>58224</v>
      </c>
      <c r="F36" s="33">
        <f>Table132[[#This Row],[New position]]-Table132[[#This Row],[Old position]]</f>
        <v>0</v>
      </c>
      <c r="G36" s="34">
        <f>ROUND(Table132[[#This Row],[Target allocation ($)]]/(IF(G88&gt;0, G67,E67)*C24)*100,3)</f>
        <v>4.452</v>
      </c>
      <c r="H36" s="39">
        <f>Table132[[#This Row],[New position]]*Table132[[#This Row],[Last_Price]]</f>
        <v>11943489.119999999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44" t="s">
        <v>80</v>
      </c>
      <c r="B37" s="34" t="s">
        <v>14</v>
      </c>
      <c r="C37" s="46">
        <v>48.42</v>
      </c>
      <c r="D37" s="34">
        <v>31968</v>
      </c>
      <c r="E37" s="34">
        <v>31968</v>
      </c>
      <c r="F37" s="33">
        <f>Table132[[#This Row],[New position]]-Table132[[#This Row],[Old position]]</f>
        <v>0</v>
      </c>
      <c r="G37" s="34">
        <f>ROUND(Table132[[#This Row],[Target allocation ($)]]/(IF(G88&gt;0, G67,E67)*C24)*100,3)</f>
        <v>0.57699999999999996</v>
      </c>
      <c r="H37" s="39">
        <f>Table132[[#This Row],[New position]]*Table132[[#This Row],[Last_Price]]</f>
        <v>1547890.56</v>
      </c>
      <c r="I37" s="105"/>
      <c r="J37" s="95"/>
      <c r="K37" s="95"/>
      <c r="L37"/>
      <c r="M37"/>
      <c r="N37"/>
      <c r="O37"/>
      <c r="P37"/>
      <c r="Q37"/>
    </row>
    <row r="38" spans="1:17" x14ac:dyDescent="0.25">
      <c r="A38" s="34">
        <v>600519</v>
      </c>
      <c r="B38" s="34" t="s">
        <v>14</v>
      </c>
      <c r="C38" s="46">
        <v>232.21787709497201</v>
      </c>
      <c r="D38" s="34">
        <v>900</v>
      </c>
      <c r="E38" s="34">
        <v>900</v>
      </c>
      <c r="F38" s="33">
        <f>Table132[[#This Row],[New position]]-Table132[[#This Row],[Old position]]</f>
        <v>0</v>
      </c>
      <c r="G38" s="34">
        <f>ROUND(Table132[[#This Row],[Target allocation ($)]]/(IF(G88&gt;0, G67,E67)*C24)*100,3)</f>
        <v>7.8E-2</v>
      </c>
      <c r="H38" s="39">
        <f>Table132[[#This Row],[New position]]*Table132[[#This Row],[Last_Price]]</f>
        <v>208996.0893854748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39.079283887468002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($)]]/(IF(G88&gt;0, G67,E67)*C24)*100,3)</f>
        <v>0.223</v>
      </c>
      <c r="H39" s="39">
        <f>Table132[[#This Row],[New position]]*Table132[[#This Row],[Last_Price]]</f>
        <v>597913.0434782604</v>
      </c>
      <c r="I39" s="52"/>
      <c r="J39" s="95"/>
      <c r="K39" s="95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9.0281329923273592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($)]]/(IF(G88&gt;0, G67,E67)*C24)*100,3)</f>
        <v>7.3999999999999996E-2</v>
      </c>
      <c r="H40" s="39">
        <f>Table132[[#This Row],[New position]]*Table132[[#This Row],[Last_Price]]</f>
        <v>198618.92583120189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4">
        <v>12.8132992327366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($)]]/(IF(G88&gt;0, G67,E67)*C24)*100,3)</f>
        <v>7.4999999999999997E-2</v>
      </c>
      <c r="H41" s="39">
        <f>Table132[[#This Row],[New position]]*Table132[[#This Row],[Last_Price]]</f>
        <v>199887.46803069097</v>
      </c>
      <c r="I41" s="27"/>
      <c r="J41" s="95"/>
      <c r="K41" s="95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4">
        <v>0.91815856777493599</v>
      </c>
      <c r="D42" s="34">
        <v>2684000</v>
      </c>
      <c r="E42" s="34">
        <v>2684000</v>
      </c>
      <c r="F42" s="33">
        <f>Table132[[#This Row],[New position]]-Table132[[#This Row],[Old position]]</f>
        <v>0</v>
      </c>
      <c r="G42" s="34">
        <f>ROUND(Table132[[#This Row],[Target allocation ($)]]/(IF(G88&gt;0, G67,E67)*C24)*100,3)</f>
        <v>0.91900000000000004</v>
      </c>
      <c r="H42" s="39">
        <f>Table132[[#This Row],[New position]]*Table132[[#This Row],[Last_Price]]</f>
        <v>2464337.595907928</v>
      </c>
      <c r="I42" s="59"/>
      <c r="J42" s="95"/>
      <c r="K42" s="96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4">
        <v>2.4092071611253201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($)]]/(IF(G88&gt;0, G67,E67)*C24)*100,3)</f>
        <v>2.3010000000000002</v>
      </c>
      <c r="H43" s="39">
        <f>Table132[[#This Row],[New position]]*Table132[[#This Row],[Last_Price]]</f>
        <v>6172388.7468030704</v>
      </c>
      <c r="I43" s="59"/>
      <c r="J43" s="95"/>
      <c r="K43" s="95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4">
        <v>7.6393861892583104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($)]]/(IF(G88&gt;0, G67,E67)*C24)*100,3)</f>
        <v>1.4890000000000001</v>
      </c>
      <c r="H44" s="39">
        <f>Table132[[#This Row],[New position]]*Table132[[#This Row],[Last_Price]]</f>
        <v>3995398.9769820962</v>
      </c>
      <c r="I44" s="59"/>
      <c r="J44" s="95"/>
      <c r="K44" s="95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4">
        <v>1.5831202046035799</v>
      </c>
      <c r="D45" s="34">
        <v>169900</v>
      </c>
      <c r="E45" s="34">
        <v>169900</v>
      </c>
      <c r="F45" s="33">
        <f>Table132[[#This Row],[New position]]-Table132[[#This Row],[Old position]]</f>
        <v>0</v>
      </c>
      <c r="G45" s="34">
        <f>ROUND(Table132[[#This Row],[Target allocation ($)]]/(IF(G88&gt;0, G67,E67)*C24)*100,3)</f>
        <v>0.1</v>
      </c>
      <c r="H45" s="39">
        <f>Table132[[#This Row],[New position]]*Table132[[#This Row],[Last_Price]]</f>
        <v>268972.12276214821</v>
      </c>
      <c r="I45" s="59"/>
      <c r="J45" s="95"/>
      <c r="K45" s="95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4">
        <v>11.2595907928389</v>
      </c>
      <c r="D46" s="34">
        <v>88000</v>
      </c>
      <c r="E46" s="34">
        <v>88000</v>
      </c>
      <c r="F46" s="33">
        <f>Table132[[#This Row],[New position]]-Table132[[#This Row],[Old position]]</f>
        <v>0</v>
      </c>
      <c r="G46" s="34">
        <f>ROUND(Table132[[#This Row],[Target allocation ($)]]/(IF(G88&gt;0, G67,E67)*C24)*100,3)</f>
        <v>0.36899999999999999</v>
      </c>
      <c r="H46" s="39">
        <f>Table132[[#This Row],[New position]]*Table132[[#This Row],[Last_Price]]</f>
        <v>990843.98976982315</v>
      </c>
      <c r="I46" s="59"/>
      <c r="J46" s="95"/>
      <c r="K46" s="95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4">
        <v>0.43222506393861898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($)]]/(IF(G88&gt;0, G67,E67)*C24)*100,3)</f>
        <v>0.375</v>
      </c>
      <c r="H47" s="39">
        <f>Table132[[#This Row],[New position]]*Table132[[#This Row],[Last_Price]]</f>
        <v>1004923.2736572891</v>
      </c>
      <c r="I47" s="59"/>
      <c r="J47" s="95"/>
      <c r="K47" s="95"/>
      <c r="L47"/>
      <c r="N47"/>
      <c r="O47"/>
      <c r="P47"/>
      <c r="Q47"/>
    </row>
    <row r="48" spans="1:17" x14ac:dyDescent="0.25">
      <c r="A48" s="34">
        <v>2899</v>
      </c>
      <c r="B48" s="34" t="s">
        <v>14</v>
      </c>
      <c r="C48" s="94">
        <v>2.1432225063938599</v>
      </c>
      <c r="D48" s="34">
        <v>930000</v>
      </c>
      <c r="E48" s="34">
        <v>930000</v>
      </c>
      <c r="F48" s="33">
        <f>Table132[[#This Row],[New position]]-Table132[[#This Row],[Old position]]</f>
        <v>0</v>
      </c>
      <c r="G48" s="34">
        <f>ROUND(Table132[[#This Row],[Target allocation ($)]]/(IF(G88&gt;0, G67,E67)*C24)*100,3)</f>
        <v>0.74299999999999999</v>
      </c>
      <c r="H48" s="39">
        <f>Table132[[#This Row],[New position]]*Table132[[#This Row],[Last_Price]]</f>
        <v>1993196.9309462898</v>
      </c>
      <c r="I48" s="59"/>
      <c r="J48" s="95"/>
      <c r="K48" s="95"/>
      <c r="L48"/>
      <c r="N48"/>
      <c r="O48"/>
      <c r="P48"/>
      <c r="Q48"/>
    </row>
    <row r="49" spans="1:17" x14ac:dyDescent="0.25">
      <c r="A49" s="34" t="s">
        <v>66</v>
      </c>
      <c r="B49" s="34" t="s">
        <v>14</v>
      </c>
      <c r="C49" s="94">
        <v>44.79</v>
      </c>
      <c r="D49" s="34">
        <v>239592</v>
      </c>
      <c r="E49" s="34">
        <v>239592</v>
      </c>
      <c r="F49" s="33">
        <f>Table132[[#This Row],[New position]]-Table132[[#This Row],[Old position]]</f>
        <v>0</v>
      </c>
      <c r="G49" s="34">
        <f>ROUND(Table132[[#This Row],[Target allocation ($)]]/(IF(G88&gt;0, G67,E67)*C24)*100,3)</f>
        <v>4</v>
      </c>
      <c r="H49" s="39">
        <f>Table132[[#This Row],[New position]]*Table132[[#This Row],[Last_Price]]</f>
        <v>10731325.68</v>
      </c>
      <c r="I49" s="65"/>
      <c r="J49" s="95"/>
      <c r="K49" s="97"/>
      <c r="L49"/>
      <c r="M49"/>
      <c r="N49"/>
      <c r="O49"/>
      <c r="P49"/>
      <c r="Q49"/>
    </row>
    <row r="50" spans="1:17" x14ac:dyDescent="0.25">
      <c r="A50" s="34" t="s">
        <v>53</v>
      </c>
      <c r="B50" s="34" t="s">
        <v>14</v>
      </c>
      <c r="C50" s="46">
        <v>24.66</v>
      </c>
      <c r="D50" s="34">
        <v>13151</v>
      </c>
      <c r="E50" s="34">
        <v>13151</v>
      </c>
      <c r="F50" s="33">
        <f>Table132[[#This Row],[New position]]-Table132[[#This Row],[Old position]]</f>
        <v>0</v>
      </c>
      <c r="G50" s="34">
        <f>ROUND(Table132[[#This Row],[Target allocation ($)]]/(IF(G88&gt;0, G67,E67)*C24)*100,3)</f>
        <v>0.121</v>
      </c>
      <c r="H50" s="39">
        <f>Table132[[#This Row],[New position]]*Table132[[#This Row],[Last_Price]]</f>
        <v>324303.65999999997</v>
      </c>
      <c r="I50" s="59"/>
      <c r="J50" s="97"/>
      <c r="K50" s="97"/>
      <c r="L50"/>
      <c r="M50"/>
      <c r="N50"/>
      <c r="O50"/>
      <c r="P50"/>
      <c r="Q50"/>
    </row>
    <row r="51" spans="1:17" x14ac:dyDescent="0.25">
      <c r="A51" s="34" t="s">
        <v>97</v>
      </c>
      <c r="B51" s="34" t="s">
        <v>14</v>
      </c>
      <c r="C51" s="46">
        <v>37.33</v>
      </c>
      <c r="D51" s="34">
        <v>80000</v>
      </c>
      <c r="E51" s="34">
        <v>80000</v>
      </c>
      <c r="F51" s="33">
        <f>ROUND(Table132[[#This Row],[New position]]-Table132[[#This Row],[Old position]], -2)</f>
        <v>0</v>
      </c>
      <c r="G51" s="34">
        <f>ROUND(Table132[[#This Row],[Target allocation ($)]]/(IF(G88&gt;0, G67,E67)*C24)*100,3)</f>
        <v>1.113</v>
      </c>
      <c r="H51" s="39">
        <f>Table132[[#This Row],[New position]]*Table132[[#This Row],[Last_Price]]</f>
        <v>2986400</v>
      </c>
      <c r="I51" s="59"/>
      <c r="J51" s="95"/>
      <c r="K51" s="97"/>
      <c r="L51"/>
      <c r="M51"/>
      <c r="N51"/>
      <c r="O51"/>
      <c r="P51"/>
      <c r="Q51"/>
    </row>
    <row r="52" spans="1:17" x14ac:dyDescent="0.25">
      <c r="A52" s="44" t="s">
        <v>52</v>
      </c>
      <c r="B52" s="44" t="s">
        <v>14</v>
      </c>
      <c r="C52" s="46">
        <v>70.63</v>
      </c>
      <c r="D52" s="34">
        <v>21678</v>
      </c>
      <c r="E52" s="34">
        <v>21678</v>
      </c>
      <c r="F52" s="33">
        <f>Table132[[#This Row],[New position]]-Table132[[#This Row],[Old position]]</f>
        <v>0</v>
      </c>
      <c r="G52" s="34">
        <f>ROUND(Table132[[#This Row],[Target allocation ($)]]/(IF(G88&gt;0, G67,E67)*C24)*100,3)</f>
        <v>0.57099999999999995</v>
      </c>
      <c r="H52" s="39">
        <f>Table132[[#This Row],[New position]]*Table132[[#This Row],[Last_Price]]</f>
        <v>1531117.14</v>
      </c>
      <c r="I52" s="61"/>
      <c r="J52" s="97"/>
      <c r="K52" s="97"/>
      <c r="L52"/>
      <c r="M52"/>
      <c r="N52"/>
      <c r="O52"/>
      <c r="P52"/>
      <c r="Q52"/>
    </row>
    <row r="53" spans="1:17" x14ac:dyDescent="0.25">
      <c r="A53" s="44" t="s">
        <v>61</v>
      </c>
      <c r="B53" s="44" t="s">
        <v>14</v>
      </c>
      <c r="C53" s="46">
        <v>33.090000000000003</v>
      </c>
      <c r="D53" s="34">
        <v>3400</v>
      </c>
      <c r="E53" s="34">
        <v>3400</v>
      </c>
      <c r="F53" s="33">
        <f>Table132[[#This Row],[New position]]-Table132[[#This Row],[Old position]]</f>
        <v>0</v>
      </c>
      <c r="G53" s="34">
        <f>ROUND(Table132[[#This Row],[Target allocation ($)]]/(IF(G88&gt;0, G67,E67)*C24)*100,3)</f>
        <v>4.2000000000000003E-2</v>
      </c>
      <c r="H53" s="39">
        <f>Table132[[#This Row],[New position]]*Table132[[#This Row],[Last_Price]]</f>
        <v>112506.00000000001</v>
      </c>
      <c r="I53" s="61"/>
      <c r="J53" s="97"/>
      <c r="K53" s="97"/>
      <c r="L53"/>
      <c r="M53"/>
      <c r="N53"/>
      <c r="O53"/>
      <c r="P53"/>
      <c r="Q53"/>
    </row>
    <row r="54" spans="1:17" x14ac:dyDescent="0.25">
      <c r="A54" s="44" t="s">
        <v>62</v>
      </c>
      <c r="B54" s="34" t="s">
        <v>14</v>
      </c>
      <c r="C54" s="46">
        <v>108.01</v>
      </c>
      <c r="D54" s="34">
        <v>158642</v>
      </c>
      <c r="E54" s="34">
        <v>158642</v>
      </c>
      <c r="F54" s="33">
        <f>Table132[[#This Row],[New position]]-Table132[[#This Row],[Old position]]</f>
        <v>0</v>
      </c>
      <c r="G54" s="34">
        <f>ROUND(Table132[[#This Row],[Target allocation ($)]]/(IF(G88&gt;0, G67,E67)*C24)*100,3)</f>
        <v>6.3869999999999996</v>
      </c>
      <c r="H54" s="39">
        <f>Table132[[#This Row],[New position]]*Table132[[#This Row],[Last_Price]]</f>
        <v>17134922.420000002</v>
      </c>
      <c r="I54" s="49"/>
      <c r="J54" s="95"/>
      <c r="K54" s="97"/>
      <c r="L54"/>
      <c r="M54"/>
      <c r="N54"/>
      <c r="O54"/>
      <c r="P54"/>
      <c r="Q54"/>
    </row>
    <row r="55" spans="1:17" x14ac:dyDescent="0.25">
      <c r="A55" s="44" t="s">
        <v>11</v>
      </c>
      <c r="B55" s="34" t="s">
        <v>14</v>
      </c>
      <c r="C55" s="46">
        <v>440.46</v>
      </c>
      <c r="D55" s="34">
        <v>72911</v>
      </c>
      <c r="E55" s="34">
        <v>72911</v>
      </c>
      <c r="F55" s="33">
        <f>Table132[[#This Row],[New position]]-Table132[[#This Row],[Old position]]</f>
        <v>0</v>
      </c>
      <c r="G55" s="34">
        <f>ROUND(Table132[[#This Row],[Target allocation ($)]]/(IF(G88&gt;0, G67,E67)*C24)*100,3)</f>
        <v>11.971</v>
      </c>
      <c r="H55" s="39">
        <f>Table132[[#This Row],[New position]]*Table132[[#This Row],[Last_Price]]</f>
        <v>32114379.059999999</v>
      </c>
      <c r="I55" s="99"/>
      <c r="J55" s="95"/>
      <c r="K55" s="97"/>
      <c r="L55"/>
      <c r="M55"/>
      <c r="N55"/>
      <c r="O55"/>
      <c r="P55"/>
      <c r="Q55"/>
    </row>
    <row r="56" spans="1:17" x14ac:dyDescent="0.25">
      <c r="A56" s="44" t="s">
        <v>31</v>
      </c>
      <c r="B56" s="34" t="s">
        <v>14</v>
      </c>
      <c r="C56" s="46">
        <v>52.55</v>
      </c>
      <c r="D56" s="34">
        <v>27428</v>
      </c>
      <c r="E56" s="34">
        <v>27428</v>
      </c>
      <c r="F56" s="33">
        <f>Table132[[#This Row],[New position]]-Table132[[#This Row],[Old position]]</f>
        <v>0</v>
      </c>
      <c r="G56" s="34">
        <f>ROUND(Table132[[#This Row],[Target allocation ($)]]/(IF(G88&gt;0, G67,E67)*C24)*100,3)</f>
        <v>0.53700000000000003</v>
      </c>
      <c r="H56" s="39">
        <f>Table132[[#This Row],[New position]]*Table132[[#This Row],[Last_Price]]</f>
        <v>1441341.4</v>
      </c>
      <c r="I56" s="100"/>
      <c r="J56" s="95"/>
      <c r="K56" s="97"/>
      <c r="L56"/>
      <c r="M56"/>
      <c r="N56"/>
      <c r="O56"/>
      <c r="P56"/>
      <c r="Q56"/>
    </row>
    <row r="57" spans="1:17" x14ac:dyDescent="0.25">
      <c r="A57" s="44" t="s">
        <v>32</v>
      </c>
      <c r="B57" s="44" t="s">
        <v>14</v>
      </c>
      <c r="C57" s="46">
        <v>79.39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($)]]/(IF(G88&gt;0, G67,E67)*C24)*100,3)</f>
        <v>1.075</v>
      </c>
      <c r="H57" s="39">
        <f>Table132[[#This Row],[New position]]*Table132[[#This Row],[Last_Price]]</f>
        <v>2882809.68</v>
      </c>
      <c r="I57" s="26"/>
      <c r="J57" s="97"/>
      <c r="K57" s="97"/>
      <c r="L57" s="42"/>
      <c r="M57"/>
      <c r="N57"/>
      <c r="O57"/>
      <c r="P57"/>
      <c r="Q57"/>
    </row>
    <row r="58" spans="1:17" x14ac:dyDescent="0.25">
      <c r="A58" s="44" t="s">
        <v>33</v>
      </c>
      <c r="B58" s="44" t="s">
        <v>14</v>
      </c>
      <c r="C58" s="46">
        <v>72.3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($)]]/(IF(G88&gt;0, G67,E67)*C24)*100,3)</f>
        <v>1.034</v>
      </c>
      <c r="H58" s="39">
        <f>Table132[[#This Row],[New position]]*Table132[[#This Row],[Last_Price]]</f>
        <v>2772705</v>
      </c>
      <c r="I58" s="26"/>
      <c r="J58" s="97"/>
      <c r="K58" s="97"/>
      <c r="L58"/>
      <c r="M58"/>
      <c r="N58"/>
      <c r="O58"/>
      <c r="P58"/>
      <c r="Q58"/>
    </row>
    <row r="59" spans="1:17" x14ac:dyDescent="0.25">
      <c r="A59" s="44" t="s">
        <v>40</v>
      </c>
      <c r="B59" s="44" t="s">
        <v>14</v>
      </c>
      <c r="C59" s="46">
        <v>91.71</v>
      </c>
      <c r="D59" s="34">
        <v>63975</v>
      </c>
      <c r="E59" s="34">
        <v>63975</v>
      </c>
      <c r="F59" s="33">
        <f>Table132[[#This Row],[New position]]-Table132[[#This Row],[Old position]]</f>
        <v>0</v>
      </c>
      <c r="G59" s="34">
        <f>ROUND(Table132[[#This Row],[Target allocation ($)]]/(IF(G88&gt;0, G67,E67)*C24)*100,3)</f>
        <v>2.1869999999999998</v>
      </c>
      <c r="H59" s="39">
        <f>Table132[[#This Row],[New position]]*Table132[[#This Row],[Last_Price]]</f>
        <v>5867147.25</v>
      </c>
      <c r="I59" s="26"/>
      <c r="J59" s="95"/>
      <c r="K59" s="97"/>
      <c r="L59"/>
      <c r="M59"/>
      <c r="N59"/>
      <c r="O59"/>
      <c r="P59"/>
      <c r="Q59"/>
    </row>
    <row r="60" spans="1:17" x14ac:dyDescent="0.25">
      <c r="A60" s="44" t="s">
        <v>43</v>
      </c>
      <c r="B60" s="44" t="s">
        <v>14</v>
      </c>
      <c r="C60" s="46">
        <v>107.02</v>
      </c>
      <c r="D60" s="34">
        <v>26725</v>
      </c>
      <c r="E60" s="34">
        <v>26725</v>
      </c>
      <c r="F60" s="33">
        <f>Table132[[#This Row],[New position]]-Table132[[#This Row],[Old position]]</f>
        <v>0</v>
      </c>
      <c r="G60" s="34">
        <f>ROUND(Table132[[#This Row],[Target allocation ($)]]/(IF(G88&gt;0, G67,E67)*C24)*100,3)</f>
        <v>1.0660000000000001</v>
      </c>
      <c r="H60" s="39">
        <f>Table132[[#This Row],[New position]]*Table132[[#This Row],[Last_Price]]</f>
        <v>2860109.5</v>
      </c>
      <c r="I60" s="53"/>
      <c r="J60" s="97"/>
      <c r="K60" s="97"/>
      <c r="L60"/>
      <c r="M60"/>
      <c r="N60"/>
      <c r="O60"/>
      <c r="P60"/>
      <c r="Q60"/>
    </row>
    <row r="61" spans="1:17" x14ac:dyDescent="0.25">
      <c r="A61" s="44" t="s">
        <v>48</v>
      </c>
      <c r="B61" s="44" t="s">
        <v>14</v>
      </c>
      <c r="C61" s="46">
        <v>36.200000000000003</v>
      </c>
      <c r="D61" s="34">
        <v>78324</v>
      </c>
      <c r="E61" s="34">
        <v>78324</v>
      </c>
      <c r="F61" s="33">
        <f>Table132[[#This Row],[New position]]-Table132[[#This Row],[Old position]]</f>
        <v>0</v>
      </c>
      <c r="G61" s="34">
        <f>ROUND(Table132[[#This Row],[Target allocation ($)]]/(IF(G88&gt;0, G67,E67)*C24)*100,3)</f>
        <v>1.0569999999999999</v>
      </c>
      <c r="H61" s="39">
        <f>Table132[[#This Row],[New position]]*Table132[[#This Row],[Last_Price]]</f>
        <v>2835328.8000000003</v>
      </c>
      <c r="I61" s="53"/>
      <c r="J61" s="97"/>
      <c r="K61" s="97"/>
      <c r="L61"/>
      <c r="M61"/>
      <c r="N61"/>
      <c r="O61"/>
      <c r="P61"/>
      <c r="Q61"/>
    </row>
    <row r="62" spans="1:17" x14ac:dyDescent="0.25">
      <c r="A62" s="44" t="s">
        <v>98</v>
      </c>
      <c r="B62" s="44" t="s">
        <v>14</v>
      </c>
      <c r="C62" s="46">
        <v>17.34</v>
      </c>
      <c r="D62" s="34">
        <v>0</v>
      </c>
      <c r="E62" s="34">
        <v>115300</v>
      </c>
      <c r="F62" s="33">
        <f>Table132[[#This Row],[New position]]-Table132[[#This Row],[Old position]]</f>
        <v>115300</v>
      </c>
      <c r="G62" s="34">
        <f>ROUND(Table132[[#This Row],[Target allocation ($)]]/(IF(G88&gt;0, G67,E67)*C24)*100,3)</f>
        <v>0.745</v>
      </c>
      <c r="H62" s="39">
        <f>Table132[[#This Row],[New position]]*Table132[[#This Row],[Last_Price]]</f>
        <v>1999302</v>
      </c>
      <c r="I62" s="53"/>
      <c r="J62" s="95" t="s">
        <v>96</v>
      </c>
      <c r="K62" s="97">
        <v>17.37</v>
      </c>
      <c r="L62"/>
      <c r="M62"/>
      <c r="N62"/>
      <c r="O62"/>
      <c r="P62"/>
      <c r="Q62"/>
    </row>
    <row r="63" spans="1:17" x14ac:dyDescent="0.25">
      <c r="A63" s="44" t="s">
        <v>65</v>
      </c>
      <c r="B63" s="44" t="s">
        <v>14</v>
      </c>
      <c r="C63" s="46">
        <v>47.13</v>
      </c>
      <c r="D63" s="34">
        <v>21013</v>
      </c>
      <c r="E63" s="34">
        <v>21013</v>
      </c>
      <c r="F63" s="33">
        <f>Table132[[#This Row],[New position]]-Table132[[#This Row],[Old position]]</f>
        <v>0</v>
      </c>
      <c r="G63" s="34">
        <f>ROUND(Table132[[#This Row],[Target allocation ($)]]/(IF(G88&gt;0, G67,E67)*C24)*100,3)</f>
        <v>0.36899999999999999</v>
      </c>
      <c r="H63" s="39">
        <f>Table132[[#This Row],[New position]]*Table132[[#This Row],[Last_Price]]</f>
        <v>990342.69000000006</v>
      </c>
      <c r="I63" s="53"/>
      <c r="J63" s="97"/>
      <c r="K63" s="97"/>
      <c r="L63"/>
      <c r="M63"/>
      <c r="N63"/>
      <c r="O63"/>
      <c r="P63"/>
      <c r="Q63"/>
    </row>
    <row r="64" spans="1:17" x14ac:dyDescent="0.25">
      <c r="A64" s="44" t="s">
        <v>44</v>
      </c>
      <c r="B64" s="44" t="s">
        <v>14</v>
      </c>
      <c r="C64" s="46">
        <v>217.78</v>
      </c>
      <c r="D64" s="34">
        <v>38544</v>
      </c>
      <c r="E64" s="34">
        <v>38544</v>
      </c>
      <c r="F64" s="33">
        <f>Table132[[#This Row],[New position]]-Table132[[#This Row],[Old position]]</f>
        <v>0</v>
      </c>
      <c r="G64" s="34">
        <f>ROUND(Table132[[#This Row],[Target allocation ($)]]/(IF(G88&gt;0, G67,E67)*C24)*100,3)</f>
        <v>3.129</v>
      </c>
      <c r="H64" s="39">
        <f>Table132[[#This Row],[New position]]*Table132[[#This Row],[Last_Price]]</f>
        <v>8394112.3200000003</v>
      </c>
      <c r="I64" s="62"/>
      <c r="J64" s="97"/>
      <c r="K64" s="97"/>
      <c r="L64"/>
      <c r="M64"/>
      <c r="N64"/>
      <c r="O64"/>
      <c r="P64"/>
      <c r="Q64"/>
    </row>
    <row r="65" spans="1:17" x14ac:dyDescent="0.25">
      <c r="A65" s="44"/>
      <c r="B65" s="44"/>
      <c r="C65" s="46"/>
      <c r="D65" s="34"/>
      <c r="E65" s="34"/>
      <c r="F65" s="31"/>
      <c r="G65" s="34"/>
      <c r="H65" s="46"/>
      <c r="I65" s="48"/>
      <c r="J65" s="69"/>
      <c r="K65" s="83"/>
      <c r="L65"/>
      <c r="M65"/>
      <c r="N65"/>
      <c r="O65"/>
      <c r="P65"/>
      <c r="Q65"/>
    </row>
    <row r="66" spans="1:17" x14ac:dyDescent="0.25">
      <c r="A66" s="44"/>
      <c r="B66" s="44"/>
      <c r="C66" s="45"/>
      <c r="D66" s="35"/>
      <c r="E66" s="54" t="s">
        <v>41</v>
      </c>
      <c r="F66" s="31"/>
      <c r="G66" s="55" t="s">
        <v>42</v>
      </c>
      <c r="H66" s="46"/>
      <c r="I66" s="48"/>
      <c r="J66" s="69"/>
      <c r="K66" s="83"/>
      <c r="L66"/>
      <c r="M66"/>
      <c r="N66"/>
      <c r="O66"/>
      <c r="P66"/>
      <c r="Q66"/>
    </row>
    <row r="67" spans="1:17" ht="30" x14ac:dyDescent="0.25">
      <c r="A67" s="44" t="s">
        <v>30</v>
      </c>
      <c r="B67" s="44"/>
      <c r="C67" s="45"/>
      <c r="D67" s="35"/>
      <c r="E67" s="34">
        <f xml:space="preserve"> IF(G88&gt;0, (C25+ABS(G88*G67))/C21, C25/C21)</f>
        <v>5.1099999999999994</v>
      </c>
      <c r="F67" s="31"/>
      <c r="G67" s="34">
        <v>5.1100000000000003</v>
      </c>
      <c r="H67" s="46"/>
      <c r="I67" s="48"/>
      <c r="J67" s="101" t="s">
        <v>73</v>
      </c>
      <c r="K67" s="82" t="s">
        <v>74</v>
      </c>
      <c r="L67"/>
      <c r="M67"/>
      <c r="N67"/>
      <c r="O67"/>
      <c r="P67"/>
      <c r="Q67"/>
    </row>
    <row r="68" spans="1:17" ht="15" customHeight="1" x14ac:dyDescent="0.25">
      <c r="A68" s="34" t="s">
        <v>34</v>
      </c>
      <c r="B68" s="34"/>
      <c r="C68" s="34"/>
      <c r="D68" s="47" t="str">
        <f>Table132[[#This Row],[Symbol]]</f>
        <v>SingleStocks</v>
      </c>
      <c r="E68" s="34">
        <f>ROUND(SUM(0)/100, 3)</f>
        <v>0</v>
      </c>
      <c r="F68" s="47" t="str">
        <f>Table132[[#This Row],[Symbol]]</f>
        <v>SingleStocks</v>
      </c>
      <c r="G68" s="34">
        <f>SUM(0)/(G67*C24)</f>
        <v>0</v>
      </c>
      <c r="H68" s="34"/>
      <c r="I68" s="94"/>
      <c r="J68" s="68" t="s">
        <v>75</v>
      </c>
      <c r="K68" s="104">
        <f>1-SUM(K69:K71)</f>
        <v>0.69427469379955775</v>
      </c>
      <c r="L68"/>
      <c r="M68"/>
      <c r="N68"/>
      <c r="O68"/>
      <c r="P68"/>
      <c r="Q68"/>
    </row>
    <row r="69" spans="1:17" ht="15" customHeight="1" x14ac:dyDescent="0.25">
      <c r="A69" s="44" t="s">
        <v>56</v>
      </c>
      <c r="B69" s="44"/>
      <c r="C69" s="45"/>
      <c r="D69" s="47" t="str">
        <f>Table132[[#This Row],[Symbol]]</f>
        <v>Healthcare</v>
      </c>
      <c r="E69" s="34">
        <f>ROUND(SUM(G28:G28)/100, 3)</f>
        <v>2.5000000000000001E-2</v>
      </c>
      <c r="F69" s="47" t="str">
        <f>Table132[[#This Row],[Symbol]]</f>
        <v>Healthcare</v>
      </c>
      <c r="G69" s="34">
        <f>SUM(H28:H28)/(G67*C24)</f>
        <v>2.5014141702147705E-2</v>
      </c>
      <c r="H69" s="46"/>
      <c r="I69" s="94"/>
      <c r="J69" s="68" t="s">
        <v>76</v>
      </c>
      <c r="K69" s="102">
        <f>(SUM(H38:H54)+H33)/C25</f>
        <v>0.26905114882788228</v>
      </c>
      <c r="L69"/>
      <c r="M69"/>
      <c r="N69"/>
      <c r="O69"/>
      <c r="P69"/>
      <c r="Q69"/>
    </row>
    <row r="70" spans="1:17" ht="15" customHeight="1" x14ac:dyDescent="0.25">
      <c r="A70" s="44" t="s">
        <v>95</v>
      </c>
      <c r="B70" s="44"/>
      <c r="C70" s="45"/>
      <c r="D70" s="47" t="str">
        <f>Table132[[#This Row],[Symbol]]</f>
        <v>Energy</v>
      </c>
      <c r="E70" s="34">
        <f>ROUND(SUM(G29:G29)/100, 3)</f>
        <v>3.5999999999999997E-2</v>
      </c>
      <c r="F70" s="47" t="str">
        <f>Table132[[#This Row],[Symbol]]</f>
        <v>Energy</v>
      </c>
      <c r="G70" s="34">
        <f>SUM(H29:H29)/(G67*C24)</f>
        <v>3.5654216952814941E-2</v>
      </c>
      <c r="H70" s="46"/>
      <c r="I70" s="107"/>
      <c r="J70" s="68"/>
      <c r="K70" s="102"/>
      <c r="L70"/>
      <c r="M70"/>
      <c r="N70"/>
      <c r="O70"/>
      <c r="P70"/>
      <c r="Q70"/>
    </row>
    <row r="71" spans="1:17" ht="15" customHeight="1" x14ac:dyDescent="0.25">
      <c r="A71" s="44" t="s">
        <v>89</v>
      </c>
      <c r="B71" s="44"/>
      <c r="C71" s="45"/>
      <c r="D71" s="47" t="str">
        <f>Table132[[#This Row],[Symbol]]</f>
        <v>Financials</v>
      </c>
      <c r="E71" s="34">
        <f>ROUND(SUM(G30:G30)/100, 3)</f>
        <v>6.3E-2</v>
      </c>
      <c r="F71" s="47" t="str">
        <f>Table132[[#This Row],[Symbol]]</f>
        <v>Financials</v>
      </c>
      <c r="G71" s="51">
        <f>SUM(H30:H30)/(G67*C24)</f>
        <v>6.3307994310248264E-2</v>
      </c>
      <c r="H71" s="46"/>
      <c r="I71" s="94"/>
      <c r="J71" s="68" t="s">
        <v>77</v>
      </c>
      <c r="K71" s="103">
        <f>(H64+H56)/C25</f>
        <v>3.6674157372559982E-2</v>
      </c>
      <c r="L71"/>
      <c r="M71"/>
      <c r="N71"/>
      <c r="O71"/>
      <c r="P71"/>
      <c r="Q71"/>
    </row>
    <row r="72" spans="1:17" ht="15" customHeight="1" x14ac:dyDescent="0.25">
      <c r="A72" s="44" t="s">
        <v>90</v>
      </c>
      <c r="B72" s="44"/>
      <c r="C72" s="45"/>
      <c r="D72" s="47" t="str">
        <f>Table132[[#This Row],[Symbol]]</f>
        <v>Techs</v>
      </c>
      <c r="E72" s="51">
        <f>ROUND(SUM(G31:G31)/100, 3)</f>
        <v>6.2E-2</v>
      </c>
      <c r="F72" s="47" t="str">
        <f>Table132[[#This Row],[Symbol]]</f>
        <v>Techs</v>
      </c>
      <c r="G72" s="34">
        <f>SUM(H31:H31)/(G67*C24)</f>
        <v>6.2099998328928513E-2</v>
      </c>
      <c r="H72" s="46"/>
      <c r="I72" s="106"/>
      <c r="J72" s="68"/>
      <c r="K72" s="102"/>
      <c r="L72"/>
      <c r="M72"/>
      <c r="N72"/>
      <c r="O72"/>
      <c r="P72"/>
      <c r="Q72"/>
    </row>
    <row r="73" spans="1:17" ht="15" customHeight="1" x14ac:dyDescent="0.25">
      <c r="A73" s="44" t="s">
        <v>50</v>
      </c>
      <c r="B73" s="44"/>
      <c r="C73" s="45"/>
      <c r="D73" s="47" t="str">
        <f>Table132[[#This Row],[Symbol]]</f>
        <v>Semiconductor</v>
      </c>
      <c r="E73" s="34">
        <f>ROUND(SUM(G32:G34)/100, 3)</f>
        <v>0.28399999999999997</v>
      </c>
      <c r="F73" s="47" t="str">
        <f>Table132[[#This Row],[Symbol]]</f>
        <v>Semiconductor</v>
      </c>
      <c r="G73" s="51">
        <f>SUM(H32:H34)/(G67*C24)</f>
        <v>0.28437526671083813</v>
      </c>
      <c r="H73" s="46"/>
      <c r="I73" s="94"/>
      <c r="K73" s="84"/>
      <c r="L73"/>
      <c r="M73"/>
      <c r="N73"/>
      <c r="O73"/>
      <c r="P73"/>
      <c r="Q73"/>
    </row>
    <row r="74" spans="1:17" ht="15.75" customHeight="1" x14ac:dyDescent="0.25">
      <c r="A74" s="44" t="s">
        <v>93</v>
      </c>
      <c r="B74" s="44"/>
      <c r="C74" s="45"/>
      <c r="D74" s="47" t="str">
        <f>Table132[[#This Row],[Symbol]]</f>
        <v>Russell</v>
      </c>
      <c r="E74" s="51">
        <f>ROUND(SUM(G35:G37)/100, 3)</f>
        <v>0.108</v>
      </c>
      <c r="F74" s="47" t="str">
        <f>Table132[[#This Row],[Symbol]]</f>
        <v>Russell</v>
      </c>
      <c r="G74" s="51">
        <f>SUM(H35:H37)/(G67*C24)</f>
        <v>0.10774859686818325</v>
      </c>
      <c r="H74" s="46"/>
      <c r="I74" s="94"/>
      <c r="J74" s="70"/>
      <c r="K74" s="84"/>
      <c r="L74"/>
      <c r="M74"/>
      <c r="N74"/>
      <c r="O74"/>
      <c r="P74"/>
      <c r="Q74"/>
    </row>
    <row r="75" spans="1:17" ht="15.75" customHeight="1" x14ac:dyDescent="0.25">
      <c r="A75" s="44" t="s">
        <v>45</v>
      </c>
      <c r="B75" s="44"/>
      <c r="C75" s="45"/>
      <c r="D75" s="47" t="str">
        <f>Table132[[#This Row],[Symbol]]</f>
        <v>S&amp;P</v>
      </c>
      <c r="E75" s="34">
        <f>ROUND(0/100, 3)</f>
        <v>0</v>
      </c>
      <c r="F75" s="47" t="str">
        <f>Table132[[#This Row],[Symbol]]</f>
        <v>S&amp;P</v>
      </c>
      <c r="G75" s="34">
        <f>SUM(0)/(G67*C24)</f>
        <v>0</v>
      </c>
      <c r="H75" s="46"/>
      <c r="I75" s="94"/>
      <c r="J75" s="70"/>
      <c r="K75" s="84"/>
      <c r="L75"/>
      <c r="M75"/>
      <c r="N75"/>
      <c r="O75"/>
      <c r="P75"/>
      <c r="Q75"/>
    </row>
    <row r="76" spans="1:17" ht="15.75" customHeight="1" x14ac:dyDescent="0.25">
      <c r="A76" s="44" t="s">
        <v>46</v>
      </c>
      <c r="B76" s="44"/>
      <c r="C76" s="45"/>
      <c r="D76" s="47" t="str">
        <f>Table132[[#This Row],[Symbol]]</f>
        <v>Dow Jones</v>
      </c>
      <c r="E76" s="34">
        <f>ROUND(0/100, 3)</f>
        <v>0</v>
      </c>
      <c r="F76" s="47" t="str">
        <f>Table132[[#This Row],[Symbol]]</f>
        <v>Dow Jones</v>
      </c>
      <c r="G76" s="51">
        <f>SUM(0)/(G67*C24)</f>
        <v>0</v>
      </c>
      <c r="H76" s="46"/>
      <c r="I76" s="52"/>
      <c r="J76" s="70"/>
      <c r="K76" s="84"/>
      <c r="L76"/>
      <c r="M76"/>
      <c r="N76"/>
      <c r="O76"/>
      <c r="P76"/>
      <c r="Q76"/>
    </row>
    <row r="77" spans="1:17" ht="14.25" customHeight="1" x14ac:dyDescent="0.25">
      <c r="A77" s="44" t="s">
        <v>49</v>
      </c>
      <c r="B77" s="44"/>
      <c r="C77" s="45"/>
      <c r="D77" s="47" t="str">
        <f>Table132[[#This Row],[Symbol]]</f>
        <v>Int Stocks</v>
      </c>
      <c r="E77" s="34">
        <f>ROUND(SUM(G38:G51)/100, 3)</f>
        <v>0.12</v>
      </c>
      <c r="F77" s="47" t="str">
        <f>Table132[[#This Row],[Symbol]]</f>
        <v>Int Stocks</v>
      </c>
      <c r="G77" s="51">
        <f>SUM(H38:H51)/(G67*C24)</f>
        <v>0.11979734330045846</v>
      </c>
      <c r="H77" s="46"/>
      <c r="I77" s="46"/>
      <c r="J77" s="70"/>
      <c r="K77" s="84"/>
      <c r="L77"/>
      <c r="M77"/>
      <c r="N77"/>
      <c r="O77"/>
      <c r="P77"/>
      <c r="Q77"/>
    </row>
    <row r="78" spans="1:17" ht="14.25" customHeight="1" x14ac:dyDescent="0.25">
      <c r="A78" s="44" t="s">
        <v>63</v>
      </c>
      <c r="B78" s="44"/>
      <c r="C78" s="45"/>
      <c r="D78" s="47" t="str">
        <f>Table132[[#This Row],[Symbol]]</f>
        <v>JP Stocks</v>
      </c>
      <c r="E78" s="34">
        <f>ROUND(SUM(G52:G54)/100, 3)</f>
        <v>7.0000000000000007E-2</v>
      </c>
      <c r="F78" s="47" t="str">
        <f>Table132[[#This Row],[Symbol]]</f>
        <v>JP Stocks</v>
      </c>
      <c r="G78" s="51">
        <f>SUM(H52:H54)/(G67*C24)</f>
        <v>6.9999826180846422E-2</v>
      </c>
      <c r="H78" s="46"/>
      <c r="I78" s="63"/>
      <c r="J78" s="72"/>
      <c r="K78" s="86"/>
      <c r="L78"/>
      <c r="M78"/>
      <c r="N78"/>
      <c r="O78"/>
      <c r="P78"/>
      <c r="Q78"/>
    </row>
    <row r="79" spans="1:17" ht="15.75" customHeight="1" x14ac:dyDescent="0.25">
      <c r="A79" s="44" t="s">
        <v>71</v>
      </c>
      <c r="B79" s="44"/>
      <c r="C79" s="45"/>
      <c r="D79" s="47" t="str">
        <f>Table132[[#This Row],[Symbol]]</f>
        <v>Nasdaq</v>
      </c>
      <c r="E79" s="51">
        <f>ROUND(SUM(G55)/100, 3)</f>
        <v>0.12</v>
      </c>
      <c r="F79" s="47" t="str">
        <f>Table132[[#This Row],[Symbol]]</f>
        <v>Nasdaq</v>
      </c>
      <c r="G79" s="51">
        <f>SUM(H55)/(G67*C24)</f>
        <v>0.11971113230911018</v>
      </c>
      <c r="H79" s="46"/>
      <c r="I79" s="27"/>
      <c r="J79" s="68"/>
      <c r="K79" s="82"/>
      <c r="L79"/>
      <c r="M79"/>
      <c r="N79"/>
      <c r="O79"/>
      <c r="P79"/>
      <c r="Q79"/>
    </row>
    <row r="80" spans="1:17" ht="15.75" customHeight="1" x14ac:dyDescent="0.25">
      <c r="A80" s="58" t="s">
        <v>51</v>
      </c>
      <c r="B80" s="44"/>
      <c r="C80" s="45"/>
      <c r="D80" s="47" t="str">
        <f>Table132[[#This Row],[Symbol]]</f>
        <v>Regional Bank</v>
      </c>
      <c r="E80" s="51">
        <f>ROUND(SUM(0)/100, 3)</f>
        <v>0</v>
      </c>
      <c r="F80" s="47" t="str">
        <f>Table132[[#This Row],[Symbol]]</f>
        <v>Regional Bank</v>
      </c>
      <c r="G80" s="34">
        <f>SUM(0)/(G67*C24)</f>
        <v>0</v>
      </c>
      <c r="H80" s="46"/>
      <c r="I80" s="27"/>
      <c r="J80" s="68"/>
      <c r="K80" s="82"/>
      <c r="L80"/>
      <c r="M80"/>
      <c r="N80"/>
      <c r="O80"/>
      <c r="P80"/>
      <c r="Q80"/>
    </row>
    <row r="81" spans="1:17" ht="15.75" customHeight="1" x14ac:dyDescent="0.25">
      <c r="A81" s="44" t="s">
        <v>54</v>
      </c>
      <c r="B81" s="44"/>
      <c r="C81" s="45"/>
      <c r="D81" s="47" t="str">
        <f>Table132[[#This Row],[Symbol]]</f>
        <v>Short</v>
      </c>
      <c r="E81" s="34">
        <f>ROUND(SUM(0)/100, 3)</f>
        <v>0</v>
      </c>
      <c r="F81" s="47" t="str">
        <f>Table132[[#This Row],[Symbol]]</f>
        <v>Short</v>
      </c>
      <c r="G81" s="51">
        <f>SUM(0)/(G67*C24)</f>
        <v>0</v>
      </c>
      <c r="H81" s="46"/>
      <c r="I81" s="59"/>
      <c r="J81" s="71"/>
      <c r="K81" s="85"/>
      <c r="L81"/>
      <c r="M81"/>
      <c r="N81"/>
      <c r="O81"/>
      <c r="P81"/>
      <c r="Q81"/>
    </row>
    <row r="82" spans="1:17" ht="14.25" customHeight="1" x14ac:dyDescent="0.25">
      <c r="A82" s="34" t="s">
        <v>27</v>
      </c>
      <c r="B82" s="44"/>
      <c r="C82" s="45"/>
      <c r="D82" s="47" t="str">
        <f>Table132[[#This Row],[Symbol]]</f>
        <v>Bonds</v>
      </c>
      <c r="E82" s="34">
        <f>ROUND((SUM(G57:G63))/100, 3)</f>
        <v>7.4999999999999997E-2</v>
      </c>
      <c r="F82" s="47" t="str">
        <f>Table132[[#This Row],[Symbol]]</f>
        <v>Bonds</v>
      </c>
      <c r="G82" s="51">
        <f>(SUM(H57:H63))/(G67*C24)</f>
        <v>7.5327379715710116E-2</v>
      </c>
      <c r="H82" s="46"/>
      <c r="I82" s="27"/>
      <c r="J82" s="68"/>
      <c r="K82" s="82"/>
      <c r="L82"/>
      <c r="M82"/>
      <c r="N82"/>
      <c r="O82"/>
      <c r="P82"/>
      <c r="Q82"/>
    </row>
    <row r="83" spans="1:17" ht="14.25" customHeight="1" x14ac:dyDescent="0.25">
      <c r="A83" s="44" t="s">
        <v>58</v>
      </c>
      <c r="B83" s="44"/>
      <c r="C83" s="45"/>
      <c r="D83" s="47" t="str">
        <f>Table132[[#This Row],[Symbol]]</f>
        <v>Core</v>
      </c>
      <c r="E83" s="34">
        <f>ROUND((SUM(0))/100, 3)</f>
        <v>0</v>
      </c>
      <c r="F83" s="47" t="str">
        <f>Table132[[#This Row],[Symbol]]</f>
        <v>Core</v>
      </c>
      <c r="G83" s="34">
        <f>(SUM(0))/(G67*C24)</f>
        <v>0</v>
      </c>
      <c r="H83" s="46"/>
      <c r="I83" s="60"/>
      <c r="J83" s="73"/>
      <c r="K83" s="87"/>
      <c r="L83"/>
      <c r="M83"/>
      <c r="N83"/>
      <c r="O83"/>
      <c r="P83"/>
      <c r="Q83"/>
    </row>
    <row r="84" spans="1:17" ht="14.25" customHeight="1" x14ac:dyDescent="0.25">
      <c r="A84" s="44" t="s">
        <v>36</v>
      </c>
      <c r="B84" s="34"/>
      <c r="C84" s="34"/>
      <c r="D84" s="47" t="str">
        <f>Table132[[#This Row],[Symbol]]</f>
        <v>Gold</v>
      </c>
      <c r="E84" s="34">
        <f>ROUND(SUM(G64)/100,3)</f>
        <v>3.1E-2</v>
      </c>
      <c r="F84" s="47" t="str">
        <f>Table132[[#This Row],[Symbol]]</f>
        <v>Gold</v>
      </c>
      <c r="G84" s="51">
        <f>SUM(H64)/(G67*C24)</f>
        <v>3.1290304217921623E-2</v>
      </c>
      <c r="H84" s="34"/>
      <c r="I84" s="28"/>
      <c r="J84" s="74"/>
      <c r="K84" s="81"/>
      <c r="L84"/>
      <c r="M84"/>
      <c r="N84"/>
      <c r="O84"/>
      <c r="P84"/>
      <c r="Q84"/>
    </row>
    <row r="85" spans="1:17" ht="15" customHeight="1" x14ac:dyDescent="0.25">
      <c r="A85" s="34" t="s">
        <v>28</v>
      </c>
      <c r="B85" s="34"/>
      <c r="C85" s="34"/>
      <c r="D85" s="47" t="str">
        <f>Table132[[#This Row],[Symbol]]</f>
        <v>Commodities</v>
      </c>
      <c r="E85" s="34">
        <f>ROUND(SUM(G56)/100,3)</f>
        <v>5.0000000000000001E-3</v>
      </c>
      <c r="F85" s="47" t="str">
        <f>Table132[[#This Row],[Symbol]]</f>
        <v>Commodities</v>
      </c>
      <c r="G85" s="34">
        <f>SUM(H56)/(G67*C24)</f>
        <v>5.3728147978707366E-3</v>
      </c>
      <c r="H85" s="34"/>
      <c r="I85" s="29"/>
      <c r="J85" s="75"/>
      <c r="K85" s="88"/>
      <c r="L85"/>
      <c r="M85"/>
      <c r="N85"/>
      <c r="O85"/>
      <c r="P85"/>
      <c r="Q85"/>
    </row>
    <row r="86" spans="1:17" ht="14.25" customHeight="1" x14ac:dyDescent="0.25">
      <c r="A86" s="44" t="s">
        <v>35</v>
      </c>
      <c r="B86" s="44"/>
      <c r="C86" s="45"/>
      <c r="D86" s="47" t="str">
        <f>Table132[[#This Row],[Symbol]]</f>
        <v>Crypto</v>
      </c>
      <c r="E86" s="51">
        <f>ROUND(SUM(0)/100,3)</f>
        <v>0</v>
      </c>
      <c r="F86" s="47" t="str">
        <f>Table132[[#This Row],[Symbol]]</f>
        <v>Crypto</v>
      </c>
      <c r="G86" s="51">
        <f>SUM(0)/(G67*C24)</f>
        <v>0</v>
      </c>
      <c r="H86" s="46"/>
      <c r="I86" s="50"/>
      <c r="J86" s="76"/>
      <c r="K86" s="89"/>
      <c r="L86"/>
      <c r="M86"/>
      <c r="N86"/>
      <c r="O86"/>
      <c r="P86"/>
      <c r="Q86"/>
    </row>
    <row r="87" spans="1:17" ht="14.25" customHeight="1" x14ac:dyDescent="0.25">
      <c r="A87" s="34" t="s">
        <v>23</v>
      </c>
      <c r="B87" s="34"/>
      <c r="C87" s="34"/>
      <c r="D87" s="47" t="str">
        <f>Table132[[#This Row],[Symbol]]</f>
        <v>Cash</v>
      </c>
      <c r="E87" s="34">
        <f>1-SUM(E68:E86)</f>
        <v>1.0000000000000009E-3</v>
      </c>
      <c r="F87" s="47" t="str">
        <f>Table132[[#This Row],[Symbol]]</f>
        <v>Cash</v>
      </c>
      <c r="G87" s="34">
        <f>1-SUM(G68:G86)</f>
        <v>3.0098460492156143E-4</v>
      </c>
      <c r="H87" s="34"/>
      <c r="I87" s="27"/>
      <c r="J87" s="68"/>
      <c r="K87" s="82"/>
      <c r="L87"/>
      <c r="M87"/>
      <c r="N87"/>
      <c r="O87"/>
      <c r="P87"/>
      <c r="Q87"/>
    </row>
    <row r="88" spans="1:17" x14ac:dyDescent="0.25">
      <c r="A88" s="25" t="s">
        <v>29</v>
      </c>
      <c r="B88" s="25"/>
      <c r="C88" s="32"/>
      <c r="D88" s="31"/>
      <c r="E88" s="39">
        <f>C24*E87</f>
        <v>52498.161000000044</v>
      </c>
      <c r="F88" s="31"/>
      <c r="G88" s="34">
        <f>C24*G87</f>
        <v>15801.138247693525</v>
      </c>
      <c r="H88" s="39"/>
      <c r="I88" s="30"/>
      <c r="J88" s="77"/>
      <c r="K88" s="90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25"/>
      <c r="G89" s="34"/>
      <c r="H89" s="39"/>
      <c r="I89" s="27"/>
      <c r="J89" s="68"/>
      <c r="K89" s="82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31"/>
      <c r="G90" s="34"/>
      <c r="H90" s="39"/>
      <c r="I90" s="27"/>
      <c r="J90" s="68"/>
      <c r="K90" s="82"/>
      <c r="L90"/>
      <c r="M90"/>
      <c r="N90"/>
      <c r="O90"/>
      <c r="P90"/>
      <c r="Q90"/>
    </row>
    <row r="91" spans="1:17" x14ac:dyDescent="0.25">
      <c r="A91" s="25"/>
      <c r="B91" s="25"/>
      <c r="C91" s="32"/>
      <c r="D91" s="25"/>
      <c r="E91" s="25"/>
      <c r="F91" s="31"/>
      <c r="G91" s="34"/>
      <c r="H91" s="39"/>
      <c r="I91" s="27"/>
      <c r="J91" s="68"/>
      <c r="K91" s="82"/>
      <c r="L91"/>
      <c r="M91"/>
      <c r="N91"/>
      <c r="O91"/>
      <c r="P91"/>
      <c r="Q91"/>
    </row>
    <row r="92" spans="1:17" x14ac:dyDescent="0.25">
      <c r="A92" s="20"/>
      <c r="B92" s="5" t="s">
        <v>21</v>
      </c>
      <c r="D92" s="1"/>
      <c r="E92" s="5" t="s">
        <v>20</v>
      </c>
      <c r="F92" s="1"/>
      <c r="G92" s="5"/>
      <c r="H92" s="40" t="s">
        <v>2</v>
      </c>
      <c r="I92" s="4"/>
      <c r="J92" s="78"/>
      <c r="K92" s="91"/>
      <c r="L92"/>
      <c r="M92"/>
      <c r="N92"/>
      <c r="O92"/>
      <c r="P92"/>
      <c r="Q92"/>
    </row>
    <row r="93" spans="1:17" x14ac:dyDescent="0.25">
      <c r="B93" s="5" t="s">
        <v>24</v>
      </c>
      <c r="D93" s="1"/>
      <c r="E93" s="5" t="s">
        <v>24</v>
      </c>
      <c r="F93" s="1"/>
      <c r="G93" s="5"/>
      <c r="H93" s="40" t="s">
        <v>3</v>
      </c>
      <c r="L93"/>
      <c r="M93"/>
      <c r="N93"/>
      <c r="O93"/>
      <c r="P93"/>
      <c r="Q93"/>
    </row>
    <row r="94" spans="1:17" x14ac:dyDescent="0.25">
      <c r="B94" s="3"/>
      <c r="C94"/>
      <c r="D94" s="1"/>
      <c r="E94" s="3"/>
      <c r="F94" s="19"/>
      <c r="G94" s="3"/>
      <c r="H94" s="41"/>
      <c r="L94"/>
      <c r="M94"/>
      <c r="N94"/>
      <c r="O94"/>
      <c r="P94"/>
      <c r="Q94"/>
    </row>
    <row r="95" spans="1:17" x14ac:dyDescent="0.25">
      <c r="C95"/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  <row r="99" spans="12:17" x14ac:dyDescent="0.25">
      <c r="L99"/>
      <c r="M99"/>
      <c r="N99"/>
      <c r="O99"/>
      <c r="P99"/>
      <c r="Q99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2024-04-11T08:39:56Z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