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42" documentId="14_{A48F4B07-3EF3-43E5-91B2-4CA340E6013A}" xr6:coauthVersionLast="47" xr6:coauthVersionMax="47" xr10:uidLastSave="{F34216E9-597D-4452-8330-3E74EC299658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1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<sst xmlns="http://schemas.openxmlformats.org/spreadsheetml/2006/main" count="135" uniqueCount="98">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</sst>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6.2E-2</c:v>
                </c:pt>
                <c:pt idx="4">
                  <c:v>6.2E-2</c:v>
                </c:pt>
                <c:pt idx="5">
                  <c:v>0.28100000000000003</c:v>
                </c:pt>
                <c:pt idx="6">
                  <c:v>0.106</c:v>
                </c:pt>
                <c:pt idx="7">
                  <c:v>0</c:v>
                </c:pt>
                <c:pt idx="8">
                  <c:v>0</c:v>
                </c:pt>
                <c:pt idx="9">
                  <c:v>0.121</c:v>
                </c:pt>
                <c:pt idx="10">
                  <c:v>7.0000000000000007E-2</c:v>
                </c:pt>
                <c:pt idx="11">
                  <c:v>0.11899999999999999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6.9999999999998952E-3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Sheet1!$J$68:$J$72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Sheet1!$K$68:$K$72</c:f>
              <c:numCache>
                <c:formatCode>0%</c:formatCode>
                <c:ptCount val="5"/>
                <c:pt idx="0">
                  <c:v>0.6930645064688693</c:v>
                </c:pt>
                <c:pt idx="1">
                  <c:v>0.27027546626165083</c:v>
                </c:pt>
                <c:pt idx="3">
                  <c:v>3.6660027269479895E-2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20" zoomScaleNormal="120" workbookViewId="0">
      <selection activeCell="G56" sqref="G5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45393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5.2141826400879454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0.1304152497083996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0.32584830737325049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0.32443864691041779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1.475969727589143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0.55666960177562352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0.63700250130366209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0.36685490308479635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0.62606581003495354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2.8437641770929323E-2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0.39191689702496668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0.16271443600274343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51021853.770000003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51021853.770000003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266037264.19263971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141.56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2.4809999999999999</v>
      </c>
      <c r="H28" s="39">
        <f>Table132[[#This Row],[New position]]*Table132[[#This Row],[Last_Price]]</f>
        <v>6654027.7999999998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3.573</v>
      </c>
      <c r="H29" s="39">
        <f>Table132[[#This Row],[New position]]*Table132[[#This Row],[Last_Price]]</f>
        <v>9584400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40.869999999999997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6.1980000000000004</v>
      </c>
      <c r="H30" s="39">
        <f>Table132[[#This Row],[New position]]*Table132[[#This Row],[Last_Price]]</f>
        <v>16625384.689999999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204.9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6.1719999999999997</v>
      </c>
      <c r="H31" s="39">
        <f>Table132[[#This Row],[New position]]*Table132[[#This Row],[Last_Price]]</f>
        <v>16553461.200000001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222.97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17.331</v>
      </c>
      <c r="H32" s="39">
        <f>Table132[[#This Row],[New position]]*Table132[[#This Row],[Last_Price]]</f>
        <v>46485677.479999997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64.510000000000005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7.7119999999999997</v>
      </c>
      <c r="H33" s="39">
        <f>Table132[[#This Row],[New position]]*Table132[[#This Row],[Last_Price]]</f>
        <v>20684679.930000003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871.13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3.0329999999999999</v>
      </c>
      <c r="H34" s="39">
        <f>Table132[[#This Row],[New position]]*Table132[[#This Row],[Last_Price]]</f>
        <v>8136354.2000000002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57.03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5.68</v>
      </c>
      <c r="H35" s="39">
        <f>Table132[[#This Row],[New position]]*Table132[[#This Row],[Last_Price]]</f>
        <v>15234880.140000001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200.28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4.3479999999999999</v>
      </c>
      <c r="H36" s="39">
        <f>Table132[[#This Row],[New position]]*Table132[[#This Row],[Last_Price]]</f>
        <v>11661102.720000001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47.12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0.56200000000000006</v>
      </c>
      <c r="H37" s="39">
        <f>Table132[[#This Row],[New position]]*Table132[[#This Row],[Last_Price]]</f>
        <v>1506332.16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230.44413407821199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7.6999999999999999E-2</v>
      </c>
      <c r="H38" s="39">
        <f>Table132[[#This Row],[New position]]*Table132[[#This Row],[Last_Price]]</f>
        <v>207399.72067039079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40.332480818414297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0.23</v>
      </c>
      <c r="H39" s="39">
        <f>Table132[[#This Row],[New position]]*Table132[[#This Row],[Last_Price]]</f>
        <v>617086.95652173879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9.4884910485933496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7.8E-2</v>
      </c>
      <c r="H40" s="39">
        <f>Table132[[#This Row],[New position]]*Table132[[#This Row],[Last_Price]]</f>
        <v>208746.80306905368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12.8900255754476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7.4999999999999997E-2</v>
      </c>
      <c r="H41" s="39">
        <f>Table132[[#This Row],[New position]]*Table132[[#This Row],[Last_Price]]</f>
        <v>201084.39897698257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0.94757033248081801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0.94799999999999995</v>
      </c>
      <c r="H42" s="39">
        <f>Table132[[#This Row],[New position]]*Table132[[#This Row],[Last_Price]]</f>
        <v>2543278.7723785155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2.4757033248081801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2.3650000000000002</v>
      </c>
      <c r="H43" s="39">
        <f>Table132[[#This Row],[New position]]*Table132[[#This Row],[Last_Price]]</f>
        <v>6342751.9181585573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7.7851662404092101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1.518</v>
      </c>
      <c r="H44" s="39">
        <f>Table132[[#This Row],[New position]]*Table132[[#This Row],[Last_Price]]</f>
        <v>4071641.9437340167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1.5767263427110001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</v>
      </c>
      <c r="H45" s="39">
        <f>Table132[[#This Row],[New position]]*Table132[[#This Row],[Last_Price]]</f>
        <v>267885.80562659894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11.1700767263427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0.36599999999999999</v>
      </c>
      <c r="H46" s="39">
        <f>Table132[[#This Row],[New position]]*Table132[[#This Row],[Last_Price]]</f>
        <v>982966.75191815756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0.43350383631713602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0.376</v>
      </c>
      <c r="H47" s="39">
        <f>Table132[[#This Row],[New position]]*Table132[[#This Row],[Last_Price]]</f>
        <v>1007896.4194373413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2.2710997442455199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0.78700000000000003</v>
      </c>
      <c r="H48" s="39">
        <f>Table132[[#This Row],[New position]]*Table132[[#This Row],[Last_Price]]</f>
        <v>2112122.7621483332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44.62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3.9860000000000002</v>
      </c>
      <c r="H49" s="39">
        <f>Table132[[#This Row],[New position]]*Table132[[#This Row],[Last_Price]]</f>
        <v>10690595.039999999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24.18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0.11899999999999999</v>
      </c>
      <c r="H50" s="39">
        <f>Table132[[#This Row],[New position]]*Table132[[#This Row],[Last_Price]]</f>
        <v>317991.18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36.619999999999997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1.0920000000000001</v>
      </c>
      <c r="H51" s="39">
        <f>Table132[[#This Row],[New position]]*Table132[[#This Row],[Last_Price]]</f>
        <v>2929600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69.569999999999993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0.56200000000000006</v>
      </c>
      <c r="H52" s="39">
        <f>Table132[[#This Row],[New position]]*Table132[[#This Row],[Last_Price]]</f>
        <v>1508138.46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32.659999999999997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4.1000000000000002E-2</v>
      </c>
      <c r="H53" s="39">
        <f>Table132[[#This Row],[New position]]*Table132[[#This Row],[Last_Price]]</f>
        <v>111043.99999999999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107.78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6.375</v>
      </c>
      <c r="H54" s="39">
        <f>Table132[[#This Row],[New position]]*Table132[[#This Row],[Last_Price]]</f>
        <v>17098434.760000002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438.11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11.909000000000001</v>
      </c>
      <c r="H55" s="39">
        <f>Table132[[#This Row],[New position]]*Table132[[#This Row],[Last_Price]]</f>
        <v>31943038.210000001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52.9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0.54100000000000004</v>
      </c>
      <c r="H56" s="39">
        <f>Table132[[#This Row],[New position]]*Table132[[#This Row],[Last_Price]]</f>
        <v>1450941.2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78.739999999999995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1.0660000000000001</v>
      </c>
      <c r="H57" s="39">
        <f>Table132[[#This Row],[New position]]*Table132[[#This Row],[Last_Price]]</f>
        <v>2859206.88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71.95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1.0289999999999999</v>
      </c>
      <c r="H58" s="39">
        <f>Table132[[#This Row],[New position]]*Table132[[#This Row],[Last_Price]]</f>
        <v>2759282.5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89.93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2.145</v>
      </c>
      <c r="H59" s="39">
        <f>Table132[[#This Row],[New position]]*Table132[[#This Row],[Last_Price]]</f>
        <v>5753271.75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106.04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1.0569999999999999</v>
      </c>
      <c r="H60" s="39">
        <f>Table132[[#This Row],[New position]]*Table132[[#This Row],[Last_Price]]</f>
        <v>2833919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35.979999999999997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1.0509999999999999</v>
      </c>
      <c r="H61" s="39">
        <f>Table132[[#This Row],[New position]]*Table132[[#This Row],[Last_Price]]</f>
        <v>2818097.5199999996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17.23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0.74099999999999999</v>
      </c>
      <c r="H62" s="39">
        <f>Table132[[#This Row],[New position]]*Table132[[#This Row],[Last_Price]]</f>
        <v>1986619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46.92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0.36799999999999999</v>
      </c>
      <c r="H63" s="39">
        <f>Table132[[#This Row],[New position]]*Table132[[#This Row],[Last_Price]]</f>
        <v>985929.96000000008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215.39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3.0950000000000002</v>
      </c>
      <c r="H64" s="39">
        <f>Table132[[#This Row],[New position]]*Table132[[#This Row],[Last_Price]]</f>
        <v>8301992.1599999992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5.2570000000000006</v>
      </c>
      <c r="F67" s="31"/>
      <c r="G67" s="34">
        <v>5.2569999999999997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1-SUM(K69:K71)</f>
        <v>0.6930645064688693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2.4807922714171506E-2</v>
      </c>
      <c r="H69" s="46"/>
      <c r="I69" s="94"/>
      <c r="J69" s="68" t="s">
        <v>76</v>
      </c>
      <c r="K69" s="102">
        <f>(SUM(H38:H54)+H33)/C25</f>
        <v>0.27027546626165083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3.5999999999999997E-2</v>
      </c>
      <c r="F70" s="47" t="str">
        <f>Table132[[#This Row],[Symbol]]</f>
        <v>Energy</v>
      </c>
      <c r="G70" s="34">
        <f>SUM(H29:H29)/(G67*C24)</f>
        <v>3.5733102056126877E-2</v>
      </c>
      <c r="H70" s="46"/>
      <c r="I70" s="107"/>
      <c r="J70" s="68"/>
      <c r="K70" s="102"/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6.2E-2</v>
      </c>
      <c r="F71" s="47" t="str">
        <f>Table132[[#This Row],[Symbol]]</f>
        <v>Financials</v>
      </c>
      <c r="G71" s="51">
        <f>SUM(H30:H30)/(G67*C24)</f>
        <v>6.1983699329132683E-2</v>
      </c>
      <c r="H71" s="46"/>
      <c r="I71" s="94"/>
      <c r="J71" s="68" t="s">
        <v>77</v>
      </c>
      <c r="K71" s="103">
        <f>(H64+H56)/C25</f>
        <v>3.6660027269479895E-2</v>
      </c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6.1715550106604115E-2</v>
      </c>
      <c r="H72" s="46"/>
      <c r="I72" s="106"/>
      <c r="J72" s="68"/>
      <c r="K72" s="102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0.28100000000000003</v>
      </c>
      <c r="F73" s="47" t="str">
        <f>Table132[[#This Row],[Symbol]]</f>
        <v>Semiconductor</v>
      </c>
      <c r="G73" s="51">
        <f>SUM(H32:H34)/(G67*C24)</f>
        <v>0.28076274064849593</v>
      </c>
      <c r="H73" s="46"/>
      <c r="I73" s="94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0.106</v>
      </c>
      <c r="F74" s="47" t="str">
        <f>Table132[[#This Row],[Symbol]]</f>
        <v>Russell</v>
      </c>
      <c r="G74" s="51">
        <f>SUM(H35:H37)/(G67*C24)</f>
        <v>0.10589111694419319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0.121</v>
      </c>
      <c r="F77" s="47" t="str">
        <f>Table132[[#This Row],[Symbol]]</f>
        <v>Int Stocks</v>
      </c>
      <c r="G77" s="51">
        <f>SUM(H38:H51)/(G67*C24)</f>
        <v>0.12117224677642423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7.0000000000000007E-2</v>
      </c>
      <c r="F78" s="47" t="str">
        <f>Table132[[#This Row],[Symbol]]</f>
        <v>JP Stocks</v>
      </c>
      <c r="G78" s="51">
        <f>SUM(H52:H54)/(G67*C24)</f>
        <v>6.9784078958492743E-2</v>
      </c>
      <c r="H78" s="46"/>
      <c r="I78" s="63"/>
      <c r="J78" s="72"/>
      <c r="K78" s="86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0.11899999999999999</v>
      </c>
      <c r="F79" s="47" t="str">
        <f>Table132[[#This Row],[Symbol]]</f>
        <v>Nasdaq</v>
      </c>
      <c r="G79" s="51">
        <f>SUM(H55)/(G67*C24)</f>
        <v>0.1190918413610336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68"/>
      <c r="K80" s="82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71"/>
      <c r="K81" s="85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7.4999999999999997E-2</v>
      </c>
      <c r="F82" s="47" t="str">
        <f>Table132[[#This Row],[Symbol]]</f>
        <v>Bonds</v>
      </c>
      <c r="G82" s="51">
        <f>(SUM(H57:H63))/(G67*C24)</f>
        <v>7.4551435614412534E-2</v>
      </c>
      <c r="H82" s="46"/>
      <c r="I82" s="27"/>
      <c r="J82" s="68"/>
      <c r="K82" s="82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3"/>
      <c r="K83" s="87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3.1E-2</v>
      </c>
      <c r="F84" s="47" t="str">
        <f>Table132[[#This Row],[Symbol]]</f>
        <v>Gold</v>
      </c>
      <c r="G84" s="51">
        <f>SUM(H64)/(G67*C24)</f>
        <v>3.0951956629778093E-2</v>
      </c>
      <c r="H84" s="34"/>
      <c r="I84" s="28"/>
      <c r="J84" s="74"/>
      <c r="K84" s="81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5.4094810292808311E-3</v>
      </c>
      <c r="H85" s="34"/>
      <c r="I85" s="29"/>
      <c r="J85" s="75"/>
      <c r="K85" s="88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76"/>
      <c r="K86" s="89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6.9999999999998952E-3</v>
      </c>
      <c r="F87" s="47" t="str">
        <f>Table132[[#This Row],[Symbol]]</f>
        <v>Cash</v>
      </c>
      <c r="G87" s="34">
        <f>1-SUM(G68:G86)</f>
        <v>8.1448278318536627E-3</v>
      </c>
      <c r="H87" s="34"/>
      <c r="I87" s="27"/>
      <c r="J87" s="68"/>
      <c r="K87" s="82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357152.97638999467</v>
      </c>
      <c r="F88" s="31"/>
      <c r="G88" s="34">
        <f>C24*G87</f>
        <v>415564.21461866377</v>
      </c>
      <c r="H88" s="39"/>
      <c r="I88" s="30"/>
      <c r="J88" s="77"/>
      <c r="K88" s="9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68"/>
      <c r="K91" s="82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J92" s="78"/>
      <c r="K92" s="91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2024-04-11T08:54:37Z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