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48" documentId="14_{A48F4B07-3EF3-43E5-91B2-4CA340E6013A}" xr6:coauthVersionLast="47" xr6:coauthVersionMax="47" xr10:uidLastSave="{C24488DD-6E79-4903-A089-7F538C03ACC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0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<sst xmlns="http://schemas.openxmlformats.org/spreadsheetml/2006/main" count="135" uniqueCount="98">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</sst>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3.4000000000000002E-2</c:v>
                </c:pt>
                <c:pt idx="3">
                  <c:v>5.8999999999999997E-2</c:v>
                </c:pt>
                <c:pt idx="4">
                  <c:v>6.0999999999999999E-2</c:v>
                </c:pt>
                <c:pt idx="5">
                  <c:v>0.27200000000000002</c:v>
                </c:pt>
                <c:pt idx="6">
                  <c:v>0.10199999999999999</c:v>
                </c:pt>
                <c:pt idx="7">
                  <c:v>0</c:v>
                </c:pt>
                <c:pt idx="8">
                  <c:v>0</c:v>
                </c:pt>
                <c:pt idx="9">
                  <c:v>0.11600000000000001</c:v>
                </c:pt>
                <c:pt idx="10">
                  <c:v>6.8000000000000005E-2</c:v>
                </c:pt>
                <c:pt idx="11">
                  <c:v>0.11600000000000001</c:v>
                </c:pt>
                <c:pt idx="12">
                  <c:v>0</c:v>
                </c:pt>
                <c:pt idx="13">
                  <c:v>0</c:v>
                </c:pt>
                <c:pt idx="14">
                  <c:v>7.1999999999999995E-2</c:v>
                </c:pt>
                <c:pt idx="15">
                  <c:v>0</c:v>
                </c:pt>
                <c:pt idx="16">
                  <c:v>3.1E-2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4.0000000000000036E-2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0.69508223839646133</c:v>
                </c:pt>
                <c:pt idx="1">
                  <c:v>0.26737202118025721</c:v>
                </c:pt>
                <c:pt idx="2">
                  <c:v>3.7545740423281473E-2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20" zoomScaleNormal="120" workbookViewId="0">
      <selection activeCell="L14" sqref="L14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45394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5.0472489140331094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0.12500836124575959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0.31255984469891912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0.31803639520316224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1.4303393204428128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0.53740431112806786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0.60807183865187653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0.35711066312648082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0.61112738080715356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2.8244368944477211E-2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SUM(H57:H63)/C24</f>
        <v>0.37714007089873197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SUM(H64)/C24</f>
        <v>0.1612583286334992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53021853.770000003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53021853.770000003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267614493.86065486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141.01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2.3780000000000001</v>
      </c>
      <c r="H28" s="39">
        <f>Table132[[#This Row],[New position]]*Table132[[#This Row],[Last_Price]]</f>
        <v>6628175.0499999998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97.9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3.4420000000000002</v>
      </c>
      <c r="H29" s="39">
        <f>Table132[[#This Row],[New position]]*Table132[[#This Row],[Last_Price]]</f>
        <v>9594200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40.74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5.9459999999999997</v>
      </c>
      <c r="H30" s="39">
        <f>Table132[[#This Row],[New position]]*Table132[[#This Row],[Last_Price]]</f>
        <v>16572502.380000001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208.73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6.05</v>
      </c>
      <c r="H31" s="39">
        <f>Table132[[#This Row],[New position]]*Table132[[#This Row],[Last_Price]]</f>
        <v>16862879.239999998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225.56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16.870999999999999</v>
      </c>
      <c r="H32" s="39">
        <f>Table132[[#This Row],[New position]]*Table132[[#This Row],[Last_Price]]</f>
        <v>47025651.039999999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63.55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7.31</v>
      </c>
      <c r="H33" s="39">
        <f>Table132[[#This Row],[New position]]*Table132[[#This Row],[Last_Price]]</f>
        <v>20376862.649999999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903.29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3.0270000000000001</v>
      </c>
      <c r="H34" s="39">
        <f>Table132[[#This Row],[New position]]*Table132[[#This Row],[Last_Price]]</f>
        <v>8436728.5999999996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56.96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5.4589999999999996</v>
      </c>
      <c r="H35" s="39">
        <f>Table132[[#This Row],[New position]]*Table132[[#This Row],[Last_Price]]</f>
        <v>15216180.48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202.08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4.2210000000000001</v>
      </c>
      <c r="H36" s="39">
        <f>Table132[[#This Row],[New position]]*Table132[[#This Row],[Last_Price]]</f>
        <v>11765905.92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47.3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0.54200000000000004</v>
      </c>
      <c r="H37" s="39">
        <f>Table132[[#This Row],[New position]]*Table132[[#This Row],[Last_Price]]</f>
        <v>1512086.4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228.39385474860299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7.3999999999999996E-2</v>
      </c>
      <c r="H38" s="39">
        <f>Table132[[#This Row],[New position]]*Table132[[#This Row],[Last_Price]]</f>
        <v>205554.4692737427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39.590792838874698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0.217</v>
      </c>
      <c r="H39" s="39">
        <f>Table132[[#This Row],[New position]]*Table132[[#This Row],[Last_Price]]</f>
        <v>605739.13043478283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9.1624040920716094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7.1999999999999995E-2</v>
      </c>
      <c r="H40" s="39">
        <f>Table132[[#This Row],[New position]]*Table132[[#This Row],[Last_Price]]</f>
        <v>201572.89002557541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12.493606138107401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7.0000000000000007E-2</v>
      </c>
      <c r="H41" s="39">
        <f>Table132[[#This Row],[New position]]*Table132[[#This Row],[Last_Price]]</f>
        <v>194900.25575447545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0.93606138107416903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0.90100000000000002</v>
      </c>
      <c r="H42" s="39">
        <f>Table132[[#This Row],[New position]]*Table132[[#This Row],[Last_Price]]</f>
        <v>2512388.7468030695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2.4450127877237899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2.2469999999999999</v>
      </c>
      <c r="H43" s="39">
        <f>Table132[[#This Row],[New position]]*Table132[[#This Row],[Last_Price]]</f>
        <v>6264122.7621483495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7.6112531969309503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1.4279999999999999</v>
      </c>
      <c r="H44" s="39">
        <f>Table132[[#This Row],[New position]]*Table132[[#This Row],[Last_Price]]</f>
        <v>3980685.4219948868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1.56010230179028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9.5000000000000001E-2</v>
      </c>
      <c r="H45" s="39">
        <f>Table132[[#This Row],[New position]]*Table132[[#This Row],[Last_Price]]</f>
        <v>265061.38107416854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10.843989769821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0.34200000000000003</v>
      </c>
      <c r="H46" s="39">
        <f>Table132[[#This Row],[New position]]*Table132[[#This Row],[Last_Price]]</f>
        <v>954271.09974424809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0.42583120204603597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0.35499999999999998</v>
      </c>
      <c r="H47" s="39">
        <f>Table132[[#This Row],[New position]]*Table132[[#This Row],[Last_Price]]</f>
        <v>990057.54475703358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2.2813299232736601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0.76100000000000001</v>
      </c>
      <c r="H48" s="39">
        <f>Table132[[#This Row],[New position]]*Table132[[#This Row],[Last_Price]]</f>
        <v>2121636.8286445038</v>
      </c>
      <c r="I48" s="59"/>
      <c r="J48" s="95"/>
      <c r="K48" s="95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44.69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3.8410000000000002</v>
      </c>
      <c r="H49" s="39">
        <f>Table132[[#This Row],[New position]]*Table132[[#This Row],[Last_Price]]</f>
        <v>10707366.479999999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24.1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0.114</v>
      </c>
      <c r="H50" s="39">
        <f>Table132[[#This Row],[New position]]*Table132[[#This Row],[Last_Price]]</f>
        <v>316939.10000000003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96</v>
      </c>
      <c r="B51" s="34" t="s">
        <v>14</v>
      </c>
      <c r="C51" s="46">
        <v>36.51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1.048</v>
      </c>
      <c r="H51" s="39">
        <f>Table132[[#This Row],[New position]]*Table132[[#This Row],[Last_Price]]</f>
        <v>2920800</v>
      </c>
      <c r="I51" s="59"/>
      <c r="J51" s="95"/>
      <c r="K51" s="97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70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0.54400000000000004</v>
      </c>
      <c r="H52" s="39">
        <f>Table132[[#This Row],[New position]]*Table132[[#This Row],[Last_Price]]</f>
        <v>1517460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33.1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0.04</v>
      </c>
      <c r="H53" s="39">
        <f>Table132[[#This Row],[New position]]*Table132[[#This Row],[Last_Price]]</f>
        <v>112540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109.08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6.2080000000000002</v>
      </c>
      <c r="H54" s="39">
        <f>Table132[[#This Row],[New position]]*Table132[[#This Row],[Last_Price]]</f>
        <v>17304669.359999999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444.42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11.625</v>
      </c>
      <c r="H55" s="39">
        <f>Table132[[#This Row],[New position]]*Table132[[#This Row],[Last_Price]]</f>
        <v>32403106.620000001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54.6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0.53700000000000003</v>
      </c>
      <c r="H56" s="39">
        <f>Table132[[#This Row],[New position]]*Table132[[#This Row],[Last_Price]]</f>
        <v>1497568.8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78.67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1.0249999999999999</v>
      </c>
      <c r="H57" s="39">
        <f>Table132[[#This Row],[New position]]*Table132[[#This Row],[Last_Price]]</f>
        <v>2856665.04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72.09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0.99199999999999999</v>
      </c>
      <c r="H58" s="39">
        <f>Table132[[#This Row],[New position]]*Table132[[#This Row],[Last_Price]]</f>
        <v>2764651.5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90.1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2.0680000000000001</v>
      </c>
      <c r="H59" s="39">
        <f>Table132[[#This Row],[New position]]*Table132[[#This Row],[Last_Price]]</f>
        <v>5764147.5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105.82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1.0149999999999999</v>
      </c>
      <c r="H60" s="39">
        <f>Table132[[#This Row],[New position]]*Table132[[#This Row],[Last_Price]]</f>
        <v>2828039.5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35.950000000000003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1.01</v>
      </c>
      <c r="H61" s="39">
        <f>Table132[[#This Row],[New position]]*Table132[[#This Row],[Last_Price]]</f>
        <v>2815747.8000000003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97</v>
      </c>
      <c r="B62" s="44" t="s">
        <v>14</v>
      </c>
      <c r="C62" s="46">
        <v>17.18</v>
      </c>
      <c r="D62" s="34">
        <v>115300</v>
      </c>
      <c r="E62" s="34">
        <v>115300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0.71099999999999997</v>
      </c>
      <c r="H62" s="39">
        <f>Table132[[#This Row],[New position]]*Table132[[#This Row],[Last_Price]]</f>
        <v>1980854</v>
      </c>
      <c r="I62" s="53"/>
      <c r="J62" s="95"/>
      <c r="K62" s="97"/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46.95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0.35399999999999998</v>
      </c>
      <c r="H63" s="39">
        <f>Table132[[#This Row],[New position]]*Table132[[#This Row],[Last_Price]]</f>
        <v>986560.35000000009</v>
      </c>
      <c r="I63" s="53"/>
      <c r="J63" s="97"/>
      <c r="K63" s="97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221.83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3.0670000000000002</v>
      </c>
      <c r="H64" s="39">
        <f>Table132[[#This Row],[New position]]*Table132[[#This Row],[Last_Price]]</f>
        <v>8550215.5199999996</v>
      </c>
      <c r="I64" s="62"/>
      <c r="J64" s="97"/>
      <c r="K64" s="97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9"/>
      <c r="K65" s="83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41</v>
      </c>
      <c r="F66" s="31"/>
      <c r="G66" s="55" t="s">
        <v>42</v>
      </c>
      <c r="H66" s="46"/>
      <c r="I66" s="48"/>
      <c r="J66" s="69"/>
      <c r="K66" s="83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5.2570000000000014</v>
      </c>
      <c r="F67" s="31"/>
      <c r="G67" s="34">
        <v>5.2569999999999997</v>
      </c>
      <c r="H67" s="46"/>
      <c r="I67" s="48"/>
      <c r="J67" s="101" t="s">
        <v>73</v>
      </c>
      <c r="K67" s="82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4"/>
      <c r="J68" s="68" t="s">
        <v>75</v>
      </c>
      <c r="K68" s="104">
        <f>1-SUM(K69:K70)</f>
        <v>0.69508223839646133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2.4E-2</v>
      </c>
      <c r="F69" s="47" t="str">
        <f>Table132[[#This Row],[Symbol]]</f>
        <v>Healthcare</v>
      </c>
      <c r="G69" s="34">
        <f>SUM(H28:H28)/(G67*C24)</f>
        <v>2.3779410547034349E-2</v>
      </c>
      <c r="H69" s="46"/>
      <c r="I69" s="94"/>
      <c r="J69" s="68" t="s">
        <v>76</v>
      </c>
      <c r="K69" s="102">
        <f>(SUM(H38:H54)+H33)/C25</f>
        <v>0.26737202118025721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3.4000000000000002E-2</v>
      </c>
      <c r="F70" s="47" t="str">
        <f>Table132[[#This Row],[Symbol]]</f>
        <v>Energy</v>
      </c>
      <c r="G70" s="34">
        <f>SUM(H29:H29)/(G67*C24)</f>
        <v>3.4420397613119311E-2</v>
      </c>
      <c r="H70" s="46"/>
      <c r="I70" s="107"/>
      <c r="J70" s="68" t="s">
        <v>77</v>
      </c>
      <c r="K70" s="103">
        <f>(H64+H56)/C25</f>
        <v>3.7545740423281473E-2</v>
      </c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5.8999999999999997E-2</v>
      </c>
      <c r="F71" s="47" t="str">
        <f>Table132[[#This Row],[Symbol]]</f>
        <v>Financials</v>
      </c>
      <c r="G71" s="51">
        <f>SUM(H30:H30)/(G67*C24)</f>
        <v>5.9455933935499167E-2</v>
      </c>
      <c r="H71" s="46"/>
      <c r="I71" s="94"/>
      <c r="J71" s="68"/>
      <c r="K71" s="102"/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1">
        <f>ROUND(SUM(G31:G31)/100, 3)</f>
        <v>6.0999999999999999E-2</v>
      </c>
      <c r="F72" s="47" t="str">
        <f>Table132[[#This Row],[Symbol]]</f>
        <v>Techs</v>
      </c>
      <c r="G72" s="34">
        <f>SUM(H31:H31)/(G67*C24)</f>
        <v>6.0497697394552449E-2</v>
      </c>
      <c r="H72" s="46"/>
      <c r="I72" s="106"/>
      <c r="K72" s="84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0.27200000000000002</v>
      </c>
      <c r="F73" s="47" t="str">
        <f>Table132[[#This Row],[Symbol]]</f>
        <v>Semiconductor</v>
      </c>
      <c r="G73" s="51">
        <f>SUM(H32:H34)/(G67*C24)</f>
        <v>0.27208280776922439</v>
      </c>
      <c r="H73" s="46"/>
      <c r="I73" s="94"/>
      <c r="J73" s="70"/>
      <c r="K73" s="84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1">
        <f>ROUND(SUM(G35:G37)/100, 3)</f>
        <v>0.10199999999999999</v>
      </c>
      <c r="F74" s="47" t="str">
        <f>Table132[[#This Row],[Symbol]]</f>
        <v>Russell</v>
      </c>
      <c r="G74" s="51">
        <f>SUM(H35:H37)/(G67*C24)</f>
        <v>0.1022264240304485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4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0.11600000000000001</v>
      </c>
      <c r="F77" s="47" t="str">
        <f>Table132[[#This Row],[Symbol]]</f>
        <v>Int Stocks</v>
      </c>
      <c r="G77" s="51">
        <f>SUM(H38:H51)/(G67*C24)</f>
        <v>0.11566898205285837</v>
      </c>
      <c r="H77" s="46"/>
      <c r="I77" s="46"/>
      <c r="J77" s="72"/>
      <c r="K77" s="86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6.8000000000000005E-2</v>
      </c>
      <c r="F78" s="47" t="str">
        <f>Table132[[#This Row],[Symbol]]</f>
        <v>JP Stocks</v>
      </c>
      <c r="G78" s="51">
        <f>SUM(H52:H54)/(G67*C24)</f>
        <v>6.7930504684512241E-2</v>
      </c>
      <c r="H78" s="46"/>
      <c r="I78" s="63"/>
      <c r="J78" s="68"/>
      <c r="K78" s="82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1">
        <f>ROUND(SUM(G55)/100, 3)</f>
        <v>0.11600000000000001</v>
      </c>
      <c r="F79" s="47" t="str">
        <f>Table132[[#This Row],[Symbol]]</f>
        <v>Nasdaq</v>
      </c>
      <c r="G79" s="51">
        <f>SUM(H55)/(G67*C24)</f>
        <v>0.11625021510503206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58" t="s">
        <v>51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71"/>
      <c r="K80" s="85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1">
        <f>SUM(0)/(G67*C24)</f>
        <v>0</v>
      </c>
      <c r="H81" s="46"/>
      <c r="I81" s="59"/>
      <c r="J81" s="68"/>
      <c r="K81" s="82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7.1999999999999995E-2</v>
      </c>
      <c r="F82" s="47" t="str">
        <f>Table132[[#This Row],[Symbol]]</f>
        <v>Bonds</v>
      </c>
      <c r="G82" s="51">
        <f>(SUM(H57:H63))/(G67*C24)</f>
        <v>7.1740549914158638E-2</v>
      </c>
      <c r="H82" s="46"/>
      <c r="I82" s="27"/>
      <c r="J82" s="73"/>
      <c r="K82" s="87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4"/>
      <c r="K83" s="81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3.1E-2</v>
      </c>
      <c r="F84" s="47" t="str">
        <f>Table132[[#This Row],[Symbol]]</f>
        <v>Gold</v>
      </c>
      <c r="G84" s="51">
        <f>SUM(H64)/(G67*C24)</f>
        <v>3.0674972157789464E-2</v>
      </c>
      <c r="H84" s="34"/>
      <c r="I84" s="28"/>
      <c r="J84" s="75"/>
      <c r="K84" s="88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5.0000000000000001E-3</v>
      </c>
      <c r="F85" s="47" t="str">
        <f>Table132[[#This Row],[Symbol]]</f>
        <v>Commodities</v>
      </c>
      <c r="G85" s="34">
        <f>SUM(H56)/(G67*C24)</f>
        <v>5.3727161773782029E-3</v>
      </c>
      <c r="H85" s="34"/>
      <c r="I85" s="29"/>
      <c r="J85" s="76"/>
      <c r="K85" s="89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51">
        <f>SUM(0)/(G67*C24)</f>
        <v>0</v>
      </c>
      <c r="H86" s="46"/>
      <c r="I86" s="50"/>
      <c r="J86" s="68"/>
      <c r="K86" s="82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4.0000000000000036E-2</v>
      </c>
      <c r="F87" s="47" t="str">
        <f>Table132[[#This Row],[Symbol]]</f>
        <v>Cash</v>
      </c>
      <c r="G87" s="34">
        <f>1-SUM(G68:G86)</f>
        <v>3.9899388618392817E-2</v>
      </c>
      <c r="H87" s="34"/>
      <c r="I87" s="27"/>
      <c r="J87" s="77"/>
      <c r="K87" s="90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2120874.1508000018</v>
      </c>
      <c r="F88" s="31"/>
      <c r="G88" s="34">
        <f>C24*G87</f>
        <v>2115539.5488368263</v>
      </c>
      <c r="H88" s="39"/>
      <c r="I88" s="30"/>
      <c r="J88" s="68"/>
      <c r="K88" s="82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8"/>
      <c r="K91" s="91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2024-04-12T09:15:40Z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