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657" documentId="14_{A48F4B07-3EF3-43E5-91B2-4CA340E6013A}" xr6:coauthVersionLast="47" xr6:coauthVersionMax="47" xr10:uidLastSave="{88E2778E-2D57-4914-B53F-6BA2278C952B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3" l="1"/>
  <c r="H62" i="3"/>
  <c r="H51" i="3" l="1"/>
  <c r="F51" i="3"/>
  <c r="H48" i="3" l="1"/>
  <c r="F48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4" i="3"/>
  <c r="F34" i="3"/>
  <c r="H35" i="3" l="1"/>
  <c r="H36" i="3"/>
  <c r="H37" i="3"/>
  <c r="F35" i="3"/>
  <c r="F36" i="3"/>
  <c r="F37" i="3"/>
  <c r="F56" i="3"/>
  <c r="H56" i="3"/>
  <c r="E81" i="3" l="1"/>
  <c r="E86" i="3" l="1"/>
  <c r="F55" i="3"/>
  <c r="H55" i="3" l="1"/>
  <c r="E83" i="3"/>
  <c r="E80" i="3"/>
  <c r="H28" i="3"/>
  <c r="F28" i="3"/>
  <c r="E68" i="3"/>
  <c r="H32" i="3"/>
  <c r="F32" i="3"/>
  <c r="F49" i="3" l="1"/>
  <c r="H49" i="3"/>
  <c r="E76" i="3" l="1"/>
  <c r="E75" i="3"/>
  <c r="F53" i="3"/>
  <c r="F78" i="3" l="1"/>
  <c r="D78" i="3"/>
  <c r="F64" i="3" l="1"/>
  <c r="H64" i="3"/>
  <c r="H53" i="3" l="1"/>
  <c r="H52" i="3"/>
  <c r="F52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50" i="3"/>
  <c r="H50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9" i="3" l="1"/>
  <c r="H58" i="3" l="1"/>
  <c r="H60" i="3"/>
  <c r="H61" i="3"/>
  <c r="H63" i="3"/>
  <c r="F58" i="3"/>
  <c r="F59" i="3"/>
  <c r="F60" i="3"/>
  <c r="F61" i="3"/>
  <c r="F63" i="3"/>
  <c r="F38" i="3" l="1"/>
  <c r="F39" i="3"/>
  <c r="F40" i="3"/>
  <c r="F54" i="3"/>
  <c r="F57" i="3"/>
  <c r="H57" i="3"/>
  <c r="H38" i="3" l="1"/>
  <c r="H39" i="3"/>
  <c r="H54" i="3" l="1"/>
  <c r="H33" i="3"/>
  <c r="H41" i="3" l="1"/>
  <c r="H40" i="3"/>
  <c r="C25" i="3" l="1" a="1"/>
  <c r="C25" i="3" s="1"/>
  <c r="K69" i="3" s="1"/>
  <c r="K70" i="3" l="1"/>
  <c r="F41" i="3"/>
  <c r="K68" i="3" l="1"/>
  <c r="F33" i="3"/>
  <c r="C24" i="3"/>
  <c r="C11" i="3" l="1"/>
  <c r="G77" i="3"/>
  <c r="C16" i="3"/>
  <c r="G70" i="3"/>
  <c r="C6" i="3"/>
  <c r="C5" i="3"/>
  <c r="C4" i="3"/>
  <c r="G72" i="3"/>
  <c r="G69" i="3"/>
  <c r="G71" i="3"/>
  <c r="G73" i="3"/>
  <c r="C7" i="3"/>
  <c r="C8" i="3"/>
  <c r="G74" i="3"/>
  <c r="G85" i="3"/>
  <c r="G82" i="3"/>
  <c r="G81" i="3"/>
  <c r="C15" i="3"/>
  <c r="C19" i="3"/>
  <c r="G86" i="3"/>
  <c r="G79" i="3"/>
  <c r="C13" i="3"/>
  <c r="C18" i="3"/>
  <c r="G83" i="3"/>
  <c r="G80" i="3"/>
  <c r="C14" i="3"/>
  <c r="G68" i="3"/>
  <c r="C3" i="3"/>
  <c r="C12" i="3"/>
  <c r="C20" i="3"/>
  <c r="C17" i="3"/>
  <c r="G84" i="3"/>
  <c r="C9" i="3"/>
  <c r="G75" i="3"/>
  <c r="C10" i="3"/>
  <c r="G76" i="3"/>
  <c r="G78" i="3"/>
  <c r="C2" i="3"/>
  <c r="G87" i="3" l="1"/>
  <c r="G88" i="3" s="1"/>
  <c r="E67" i="3" l="1"/>
  <c r="G31" i="3" s="1"/>
  <c r="E72" i="3" s="1"/>
  <c r="G62" i="3" l="1"/>
  <c r="G61" i="3"/>
  <c r="G51" i="3"/>
  <c r="G50" i="3"/>
  <c r="G47" i="3"/>
  <c r="G48" i="3"/>
  <c r="G46" i="3"/>
  <c r="G45" i="3"/>
  <c r="G44" i="3"/>
  <c r="G43" i="3"/>
  <c r="G42" i="3"/>
  <c r="G29" i="3"/>
  <c r="E70" i="3" s="1"/>
  <c r="G28" i="3"/>
  <c r="E69" i="3" s="1"/>
  <c r="G56" i="3"/>
  <c r="E85" i="3" s="1"/>
  <c r="G38" i="3"/>
  <c r="G36" i="3"/>
  <c r="G60" i="3"/>
  <c r="G59" i="3"/>
  <c r="G57" i="3"/>
  <c r="G32" i="3"/>
  <c r="G55" i="3"/>
  <c r="E79" i="3" s="1"/>
  <c r="G35" i="3"/>
  <c r="G39" i="3"/>
  <c r="G53" i="3"/>
  <c r="G52" i="3"/>
  <c r="G54" i="3"/>
  <c r="G58" i="3"/>
  <c r="G37" i="3"/>
  <c r="G34" i="3"/>
  <c r="G33" i="3"/>
  <c r="G30" i="3"/>
  <c r="E71" i="3" s="1"/>
  <c r="G41" i="3"/>
  <c r="G64" i="3"/>
  <c r="E84" i="3" s="1"/>
  <c r="G63" i="3"/>
  <c r="G40" i="3"/>
  <c r="G49" i="3"/>
  <c r="E77" i="3" l="1"/>
  <c r="E73" i="3"/>
  <c r="E78" i="3"/>
  <c r="E74" i="3"/>
  <c r="E82" i="3"/>
  <c r="E87" i="3" l="1"/>
  <c r="E88" i="3" s="1"/>
</calcChain>
</file>

<file path=xl/sharedStrings.xml><?xml version="1.0" encoding="utf-8"?>
<sst xmlns="http://schemas.openxmlformats.org/spreadsheetml/2006/main" count="135" uniqueCount="98">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</sst>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3.5000000000000003E-2</c:v>
                </c:pt>
                <c:pt idx="3">
                  <c:v>6.0999999999999999E-2</c:v>
                </c:pt>
                <c:pt idx="4">
                  <c:v>6.2E-2</c:v>
                </c:pt>
                <c:pt idx="5">
                  <c:v>0.27600000000000002</c:v>
                </c:pt>
                <c:pt idx="6">
                  <c:v>0.104</c:v>
                </c:pt>
                <c:pt idx="7">
                  <c:v>0</c:v>
                </c:pt>
                <c:pt idx="8">
                  <c:v>0</c:v>
                </c:pt>
                <c:pt idx="9">
                  <c:v>0.12</c:v>
                </c:pt>
                <c:pt idx="10">
                  <c:v>7.0999999999999994E-2</c:v>
                </c:pt>
                <c:pt idx="11">
                  <c:v>0.11899999999999999</c:v>
                </c:pt>
                <c:pt idx="12">
                  <c:v>0</c:v>
                </c:pt>
                <c:pt idx="13">
                  <c:v>0</c:v>
                </c:pt>
                <c:pt idx="14">
                  <c:v>7.4999999999999997E-2</c:v>
                </c:pt>
                <c:pt idx="15">
                  <c:v>0</c:v>
                </c:pt>
                <c:pt idx="16">
                  <c:v>3.2000000000000001E-2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1.5000000000000013E-2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0.69261554904103317</c:v>
                </c:pt>
                <c:pt idx="1">
                  <c:v>0.26955128003072037</c:v>
                </c:pt>
                <c:pt idx="2">
                  <c:v>3.7833170928246465E-2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zoomScale="120" zoomScaleNormal="120" workbookViewId="0">
      <selection activeCell="H53" sqref="H53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45397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5.6581079308110924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81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0.1411755809732636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0.35173350109046692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0.35344588101161661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1.5865034180222908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85</v>
      </c>
      <c r="B8" s="111"/>
      <c r="C8" s="15">
        <f>SUM(H35:H37)/C24</f>
        <v>0.60027064742300706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SUM(H38:H51)/C24</f>
        <v>0.69002645471677793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64</v>
      </c>
      <c r="B12" s="111"/>
      <c r="C12" s="15">
        <f>SUM(H52:H54)/C24</f>
        <v>0.40773167351113426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72</v>
      </c>
      <c r="B13" s="111"/>
      <c r="C13" s="15">
        <f>SUM(H55)/C24</f>
        <v>0.68204965043252341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SUM(H56)/C24</f>
        <v>3.0515772863232152E-2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SUM(H57:H63)/C24</f>
        <v>0.42899777725488447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SUM(H64)/C24</f>
        <v>0.18354839161361083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46064211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46064211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260636277.58565557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138.35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2.4569999999999999</v>
      </c>
      <c r="H28" s="39">
        <f>Table132[[#This Row],[New position]]*Table132[[#This Row],[Last_Price]]</f>
        <v>6503141.75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95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3.5179999999999998</v>
      </c>
      <c r="H29" s="39">
        <f>Table132[[#This Row],[New position]]*Table132[[#This Row],[Last_Price]]</f>
        <v>9310000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39.83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6.1219999999999999</v>
      </c>
      <c r="H30" s="39">
        <f>Table132[[#This Row],[New position]]*Table132[[#This Row],[Last_Price]]</f>
        <v>16202326.209999999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201.53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6.1520000000000001</v>
      </c>
      <c r="H31" s="39">
        <f>Table132[[#This Row],[New position]]*Table132[[#This Row],[Last_Price]]</f>
        <v>16281205.640000001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217.5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17.135000000000002</v>
      </c>
      <c r="H32" s="39">
        <f>Table132[[#This Row],[New position]]*Table132[[#This Row],[Last_Price]]</f>
        <v>45345270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61.4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7.4390000000000001</v>
      </c>
      <c r="H33" s="39">
        <f>Table132[[#This Row],[New position]]*Table132[[#This Row],[Last_Price]]</f>
        <v>19687480.199999999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861.7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3.0409999999999999</v>
      </c>
      <c r="H34" s="39">
        <f>Table132[[#This Row],[New position]]*Table132[[#This Row],[Last_Price]]</f>
        <v>8048278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55.52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5.6040000000000001</v>
      </c>
      <c r="H35" s="39">
        <f>Table132[[#This Row],[New position]]*Table132[[#This Row],[Last_Price]]</f>
        <v>14831501.760000002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195.21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4.2949999999999999</v>
      </c>
      <c r="H36" s="39">
        <f>Table132[[#This Row],[New position]]*Table132[[#This Row],[Last_Price]]</f>
        <v>11365907.040000001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45.47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($)]]/(IF(G88&gt;0, G67,E67)*C24)*100,3)</f>
        <v>0.54900000000000004</v>
      </c>
      <c r="H37" s="39">
        <f>Table132[[#This Row],[New position]]*Table132[[#This Row],[Last_Price]]</f>
        <v>1453584.96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233.254189944134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7.9000000000000001E-2</v>
      </c>
      <c r="H38" s="39">
        <f>Table132[[#This Row],[New position]]*Table132[[#This Row],[Last_Price]]</f>
        <v>209928.77094972061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38.618925831201999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0.223</v>
      </c>
      <c r="H39" s="39">
        <f>Table132[[#This Row],[New position]]*Table132[[#This Row],[Last_Price]]</f>
        <v>590869.56521739054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8.7531969309462898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7.2999999999999995E-2</v>
      </c>
      <c r="H40" s="39">
        <f>Table132[[#This Row],[New position]]*Table132[[#This Row],[Last_Price]]</f>
        <v>192570.33248081838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12.039641943734001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7.0999999999999994E-2</v>
      </c>
      <c r="H41" s="39">
        <f>Table132[[#This Row],[New position]]*Table132[[#This Row],[Last_Price]]</f>
        <v>187818.41432225041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0.96419437340153402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0.97799999999999998</v>
      </c>
      <c r="H42" s="39">
        <f>Table132[[#This Row],[New position]]*Table132[[#This Row],[Last_Price]]</f>
        <v>2587897.6982097174</v>
      </c>
      <c r="I42" s="59"/>
      <c r="J42" s="95"/>
      <c r="K42" s="96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2.42966751918159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2.3519999999999999</v>
      </c>
      <c r="H43" s="39">
        <f>Table132[[#This Row],[New position]]*Table132[[#This Row],[Last_Price]]</f>
        <v>6224808.1841432331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4">
        <v>7.4322250639386196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1.4690000000000001</v>
      </c>
      <c r="H44" s="39">
        <f>Table132[[#This Row],[New position]]*Table132[[#This Row],[Last_Price]]</f>
        <v>3887053.7084398982</v>
      </c>
      <c r="I44" s="59"/>
      <c r="J44" s="95"/>
      <c r="K44" s="95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4">
        <v>1.58567774936061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0.10199999999999999</v>
      </c>
      <c r="H45" s="39">
        <f>Table132[[#This Row],[New position]]*Table132[[#This Row],[Last_Price]]</f>
        <v>269406.64961636765</v>
      </c>
      <c r="I45" s="59"/>
      <c r="J45" s="95"/>
      <c r="K45" s="95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4">
        <v>10.370843989769799</v>
      </c>
      <c r="D46" s="34">
        <v>88000</v>
      </c>
      <c r="E46" s="34">
        <v>88000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0.34499999999999997</v>
      </c>
      <c r="H46" s="39">
        <f>Table132[[#This Row],[New position]]*Table132[[#This Row],[Last_Price]]</f>
        <v>912634.27109974239</v>
      </c>
      <c r="I46" s="59"/>
      <c r="J46" s="95"/>
      <c r="K46" s="95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4">
        <v>0.42583120204603597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0.374</v>
      </c>
      <c r="H47" s="39">
        <f>Table132[[#This Row],[New position]]*Table132[[#This Row],[Last_Price]]</f>
        <v>990057.54475703358</v>
      </c>
      <c r="I47" s="59"/>
      <c r="J47" s="95"/>
      <c r="K47" s="95"/>
      <c r="L47"/>
      <c r="N47"/>
      <c r="O47"/>
      <c r="P47"/>
      <c r="Q47"/>
    </row>
    <row r="48" spans="1:17" x14ac:dyDescent="0.25">
      <c r="A48" s="34">
        <v>2899</v>
      </c>
      <c r="B48" s="34" t="s">
        <v>14</v>
      </c>
      <c r="C48" s="94">
        <v>2.2148337595907899</v>
      </c>
      <c r="D48" s="34">
        <v>930000</v>
      </c>
      <c r="E48" s="34">
        <v>930000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0.77800000000000002</v>
      </c>
      <c r="H48" s="39">
        <f>Table132[[#This Row],[New position]]*Table132[[#This Row],[Last_Price]]</f>
        <v>2059795.3964194346</v>
      </c>
      <c r="I48" s="59"/>
      <c r="J48" s="95"/>
      <c r="K48" s="95"/>
      <c r="L48"/>
      <c r="N48"/>
      <c r="O48"/>
      <c r="P48"/>
      <c r="Q48"/>
    </row>
    <row r="49" spans="1:17" x14ac:dyDescent="0.25">
      <c r="A49" s="34" t="s">
        <v>66</v>
      </c>
      <c r="B49" s="34" t="s">
        <v>14</v>
      </c>
      <c r="C49" s="94">
        <v>43.87</v>
      </c>
      <c r="D49" s="34">
        <v>239592</v>
      </c>
      <c r="E49" s="34">
        <v>239592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3.972</v>
      </c>
      <c r="H49" s="39">
        <f>Table132[[#This Row],[New position]]*Table132[[#This Row],[Last_Price]]</f>
        <v>10510901.039999999</v>
      </c>
      <c r="I49" s="65"/>
      <c r="J49" s="95"/>
      <c r="K49" s="97"/>
      <c r="L49"/>
      <c r="M49"/>
      <c r="N49"/>
      <c r="O49"/>
      <c r="P49"/>
      <c r="Q49"/>
    </row>
    <row r="50" spans="1:17" x14ac:dyDescent="0.25">
      <c r="A50" s="34" t="s">
        <v>53</v>
      </c>
      <c r="B50" s="34" t="s">
        <v>14</v>
      </c>
      <c r="C50" s="46">
        <v>23.13</v>
      </c>
      <c r="D50" s="34">
        <v>13151</v>
      </c>
      <c r="E50" s="34">
        <v>13151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0.115</v>
      </c>
      <c r="H50" s="39">
        <f>Table132[[#This Row],[New position]]*Table132[[#This Row],[Last_Price]]</f>
        <v>304182.63</v>
      </c>
      <c r="I50" s="59"/>
      <c r="J50" s="97"/>
      <c r="K50" s="97"/>
      <c r="L50"/>
      <c r="M50"/>
      <c r="N50"/>
      <c r="O50"/>
      <c r="P50"/>
      <c r="Q50"/>
    </row>
    <row r="51" spans="1:17" x14ac:dyDescent="0.25">
      <c r="A51" s="34" t="s">
        <v>96</v>
      </c>
      <c r="B51" s="34" t="s">
        <v>14</v>
      </c>
      <c r="C51" s="46">
        <v>35.72</v>
      </c>
      <c r="D51" s="34">
        <v>80000</v>
      </c>
      <c r="E51" s="34">
        <v>80000</v>
      </c>
      <c r="F51" s="33">
        <f>ROUND(Table132[[#This Row],[New position]]-Table132[[#This Row],[Old position]], -2)</f>
        <v>0</v>
      </c>
      <c r="G51" s="34">
        <f>ROUND(Table132[[#This Row],[Target allocation ($)]]/(IF(G88&gt;0, G67,E67)*C24)*100,3)</f>
        <v>1.08</v>
      </c>
      <c r="H51" s="39">
        <f>Table132[[#This Row],[New position]]*Table132[[#This Row],[Last_Price]]</f>
        <v>2857600</v>
      </c>
      <c r="I51" s="59"/>
      <c r="J51" s="95"/>
      <c r="K51" s="97"/>
      <c r="L51"/>
      <c r="M51"/>
      <c r="N51"/>
      <c r="O51"/>
      <c r="P51"/>
      <c r="Q51"/>
    </row>
    <row r="52" spans="1:17" x14ac:dyDescent="0.25">
      <c r="A52" s="44" t="s">
        <v>52</v>
      </c>
      <c r="B52" s="44" t="s">
        <v>14</v>
      </c>
      <c r="C52" s="46">
        <v>68.069999999999993</v>
      </c>
      <c r="D52" s="34">
        <v>21678</v>
      </c>
      <c r="E52" s="34">
        <v>21678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0.55800000000000005</v>
      </c>
      <c r="H52" s="39">
        <f>Table132[[#This Row],[New position]]*Table132[[#This Row],[Last_Price]]</f>
        <v>1475621.46</v>
      </c>
      <c r="I52" s="61"/>
      <c r="J52" s="97"/>
      <c r="K52" s="97"/>
      <c r="L52"/>
      <c r="M52"/>
      <c r="N52"/>
      <c r="O52"/>
      <c r="P52"/>
      <c r="Q52"/>
    </row>
    <row r="53" spans="1:17" x14ac:dyDescent="0.25">
      <c r="A53" s="44" t="s">
        <v>61</v>
      </c>
      <c r="B53" s="44" t="s">
        <v>14</v>
      </c>
      <c r="C53" s="46">
        <v>32.65</v>
      </c>
      <c r="D53" s="34">
        <v>3400</v>
      </c>
      <c r="E53" s="34">
        <v>3400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4.2000000000000003E-2</v>
      </c>
      <c r="H53" s="39">
        <f>Table132[[#This Row],[New position]]*Table132[[#This Row],[Last_Price]]</f>
        <v>111010</v>
      </c>
      <c r="I53" s="61"/>
      <c r="J53" s="97"/>
      <c r="K53" s="97"/>
      <c r="L53"/>
      <c r="M53"/>
      <c r="N53"/>
      <c r="O53"/>
      <c r="P53"/>
      <c r="Q53"/>
    </row>
    <row r="54" spans="1:17" x14ac:dyDescent="0.25">
      <c r="A54" s="44" t="s">
        <v>62</v>
      </c>
      <c r="B54" s="34" t="s">
        <v>14</v>
      </c>
      <c r="C54" s="46">
        <v>108.39</v>
      </c>
      <c r="D54" s="34">
        <v>158642</v>
      </c>
      <c r="E54" s="34">
        <v>158642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6.4980000000000002</v>
      </c>
      <c r="H54" s="39">
        <f>Table132[[#This Row],[New position]]*Table132[[#This Row],[Last_Price]]</f>
        <v>17195206.379999999</v>
      </c>
      <c r="I54" s="49"/>
      <c r="J54" s="95"/>
      <c r="K54" s="97"/>
      <c r="L54"/>
      <c r="M54"/>
      <c r="N54"/>
      <c r="O54"/>
      <c r="P54"/>
      <c r="Q54"/>
    </row>
    <row r="55" spans="1:17" x14ac:dyDescent="0.25">
      <c r="A55" s="44" t="s">
        <v>11</v>
      </c>
      <c r="B55" s="34" t="s">
        <v>14</v>
      </c>
      <c r="C55" s="46">
        <v>430.91</v>
      </c>
      <c r="D55" s="34">
        <v>72911</v>
      </c>
      <c r="E55" s="34">
        <v>72911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11.872</v>
      </c>
      <c r="H55" s="39">
        <f>Table132[[#This Row],[New position]]*Table132[[#This Row],[Last_Price]]</f>
        <v>31418079.010000002</v>
      </c>
      <c r="I55" s="99"/>
      <c r="J55" s="95"/>
      <c r="K55" s="97"/>
      <c r="L55"/>
      <c r="M55"/>
      <c r="N55"/>
      <c r="O55"/>
      <c r="P55"/>
      <c r="Q55"/>
    </row>
    <row r="56" spans="1:17" x14ac:dyDescent="0.25">
      <c r="A56" s="44" t="s">
        <v>31</v>
      </c>
      <c r="B56" s="34" t="s">
        <v>14</v>
      </c>
      <c r="C56" s="46">
        <v>51.25</v>
      </c>
      <c r="D56" s="34">
        <v>27428</v>
      </c>
      <c r="E56" s="34">
        <v>27428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0.53100000000000003</v>
      </c>
      <c r="H56" s="39">
        <f>Table132[[#This Row],[New position]]*Table132[[#This Row],[Last_Price]]</f>
        <v>1405685</v>
      </c>
      <c r="I56" s="100"/>
      <c r="J56" s="95"/>
      <c r="K56" s="97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78.2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1.073</v>
      </c>
      <c r="H57" s="39">
        <f>Table132[[#This Row],[New position]]*Table132[[#This Row],[Last_Price]]</f>
        <v>2839598.4</v>
      </c>
      <c r="I57" s="26"/>
      <c r="J57" s="97"/>
      <c r="K57" s="97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70.459999999999994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1.0209999999999999</v>
      </c>
      <c r="H58" s="39">
        <f>Table132[[#This Row],[New position]]*Table132[[#This Row],[Last_Price]]</f>
        <v>2702140.9999999995</v>
      </c>
      <c r="I58" s="26"/>
      <c r="J58" s="97"/>
      <c r="K58" s="97"/>
      <c r="L58"/>
      <c r="M58"/>
      <c r="N58"/>
      <c r="O58"/>
      <c r="P58"/>
      <c r="Q58"/>
    </row>
    <row r="59" spans="1:17" x14ac:dyDescent="0.25">
      <c r="A59" s="44" t="s">
        <v>40</v>
      </c>
      <c r="B59" s="44" t="s">
        <v>14</v>
      </c>
      <c r="C59" s="46">
        <v>88.66</v>
      </c>
      <c r="D59" s="34">
        <v>63975</v>
      </c>
      <c r="E59" s="34">
        <v>63975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2.1429999999999998</v>
      </c>
      <c r="H59" s="39">
        <f>Table132[[#This Row],[New position]]*Table132[[#This Row],[Last_Price]]</f>
        <v>5672023.5</v>
      </c>
      <c r="I59" s="26"/>
      <c r="J59" s="95"/>
      <c r="K59" s="97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104.89</v>
      </c>
      <c r="D60" s="34">
        <v>26725</v>
      </c>
      <c r="E60" s="34">
        <v>26725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1.0589999999999999</v>
      </c>
      <c r="H60" s="39">
        <f>Table132[[#This Row],[New position]]*Table132[[#This Row],[Last_Price]]</f>
        <v>2803185.25</v>
      </c>
      <c r="I60" s="53"/>
      <c r="J60" s="97"/>
      <c r="K60" s="97"/>
      <c r="L60"/>
      <c r="M60"/>
      <c r="N60"/>
      <c r="O60"/>
      <c r="P60"/>
      <c r="Q60"/>
    </row>
    <row r="61" spans="1:17" x14ac:dyDescent="0.25">
      <c r="A61" s="44" t="s">
        <v>48</v>
      </c>
      <c r="B61" s="44" t="s">
        <v>14</v>
      </c>
      <c r="C61" s="46">
        <v>35.72</v>
      </c>
      <c r="D61" s="34">
        <v>78324</v>
      </c>
      <c r="E61" s="34">
        <v>78324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1.0569999999999999</v>
      </c>
      <c r="H61" s="39">
        <f>Table132[[#This Row],[New position]]*Table132[[#This Row],[Last_Price]]</f>
        <v>2797733.28</v>
      </c>
      <c r="I61" s="53"/>
      <c r="J61" s="97"/>
      <c r="K61" s="97"/>
      <c r="L61"/>
      <c r="M61"/>
      <c r="N61"/>
      <c r="O61"/>
      <c r="P61"/>
      <c r="Q61"/>
    </row>
    <row r="62" spans="1:17" x14ac:dyDescent="0.25">
      <c r="A62" s="44" t="s">
        <v>97</v>
      </c>
      <c r="B62" s="44" t="s">
        <v>14</v>
      </c>
      <c r="C62" s="46">
        <v>17.010000000000002</v>
      </c>
      <c r="D62" s="34">
        <v>115300</v>
      </c>
      <c r="E62" s="34">
        <v>115300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0.74099999999999999</v>
      </c>
      <c r="H62" s="39">
        <f>Table132[[#This Row],[New position]]*Table132[[#This Row],[Last_Price]]</f>
        <v>1961253.0000000002</v>
      </c>
      <c r="I62" s="53"/>
      <c r="J62" s="95"/>
      <c r="K62" s="97"/>
      <c r="L62"/>
      <c r="M62"/>
      <c r="N62"/>
      <c r="O62"/>
      <c r="P62"/>
      <c r="Q62"/>
    </row>
    <row r="63" spans="1:17" x14ac:dyDescent="0.25">
      <c r="A63" s="44" t="s">
        <v>65</v>
      </c>
      <c r="B63" s="44" t="s">
        <v>14</v>
      </c>
      <c r="C63" s="46">
        <v>46.9</v>
      </c>
      <c r="D63" s="34">
        <v>21013</v>
      </c>
      <c r="E63" s="34">
        <v>21013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0.372</v>
      </c>
      <c r="H63" s="39">
        <f>Table132[[#This Row],[New position]]*Table132[[#This Row],[Last_Price]]</f>
        <v>985509.7</v>
      </c>
      <c r="I63" s="53"/>
      <c r="J63" s="97"/>
      <c r="K63" s="97"/>
      <c r="L63"/>
      <c r="M63"/>
      <c r="N63"/>
      <c r="O63"/>
      <c r="P63"/>
      <c r="Q63"/>
    </row>
    <row r="64" spans="1:17" x14ac:dyDescent="0.25">
      <c r="A64" s="44" t="s">
        <v>44</v>
      </c>
      <c r="B64" s="44" t="s">
        <v>14</v>
      </c>
      <c r="C64" s="46">
        <v>219.36</v>
      </c>
      <c r="D64" s="34">
        <v>38544</v>
      </c>
      <c r="E64" s="34">
        <v>38544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3.1949999999999998</v>
      </c>
      <c r="H64" s="39">
        <f>Table132[[#This Row],[New position]]*Table132[[#This Row],[Last_Price]]</f>
        <v>8455011.8399999999</v>
      </c>
      <c r="I64" s="62"/>
      <c r="J64" s="97"/>
      <c r="K64" s="97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9"/>
      <c r="K65" s="83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41</v>
      </c>
      <c r="F66" s="31"/>
      <c r="G66" s="55" t="s">
        <v>42</v>
      </c>
      <c r="H66" s="46"/>
      <c r="I66" s="48"/>
      <c r="J66" s="69"/>
      <c r="K66" s="83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5.7449999999999992</v>
      </c>
      <c r="F67" s="31"/>
      <c r="G67" s="34">
        <v>5.7450000000000001</v>
      </c>
      <c r="H67" s="46"/>
      <c r="I67" s="48"/>
      <c r="J67" s="101" t="s">
        <v>73</v>
      </c>
      <c r="K67" s="82" t="s">
        <v>74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4"/>
      <c r="J68" s="68" t="s">
        <v>75</v>
      </c>
      <c r="K68" s="104">
        <f>1-SUM(K69:K70)</f>
        <v>0.69261554904103317</v>
      </c>
      <c r="L68"/>
      <c r="M68"/>
      <c r="N68"/>
      <c r="O68"/>
      <c r="P68"/>
      <c r="Q68"/>
    </row>
    <row r="69" spans="1:17" ht="15" customHeight="1" x14ac:dyDescent="0.25">
      <c r="A69" s="44" t="s">
        <v>56</v>
      </c>
      <c r="B69" s="44"/>
      <c r="C69" s="45"/>
      <c r="D69" s="47" t="str">
        <f>Table132[[#This Row],[Symbol]]</f>
        <v>Healthcare</v>
      </c>
      <c r="E69" s="34">
        <f>ROUND(SUM(G28:G28)/100, 3)</f>
        <v>2.5000000000000001E-2</v>
      </c>
      <c r="F69" s="47" t="str">
        <f>Table132[[#This Row],[Symbol]]</f>
        <v>Healthcare</v>
      </c>
      <c r="G69" s="34">
        <f>SUM(H28:H28)/(G67*C24)</f>
        <v>2.4573643337382701E-2</v>
      </c>
      <c r="H69" s="46"/>
      <c r="I69" s="94"/>
      <c r="J69" s="68" t="s">
        <v>76</v>
      </c>
      <c r="K69" s="102">
        <f>(SUM(H38:H54)+H33)/C25</f>
        <v>0.26955128003072037</v>
      </c>
      <c r="L69"/>
      <c r="M69"/>
      <c r="N69"/>
      <c r="O69"/>
      <c r="P69"/>
      <c r="Q69"/>
    </row>
    <row r="70" spans="1:17" ht="15" customHeight="1" x14ac:dyDescent="0.25">
      <c r="A70" s="44" t="s">
        <v>95</v>
      </c>
      <c r="B70" s="44"/>
      <c r="C70" s="45"/>
      <c r="D70" s="47" t="str">
        <f>Table132[[#This Row],[Symbol]]</f>
        <v>Energy</v>
      </c>
      <c r="E70" s="34">
        <f>ROUND(SUM(G29:G29)/100, 3)</f>
        <v>3.5000000000000003E-2</v>
      </c>
      <c r="F70" s="47" t="str">
        <f>Table132[[#This Row],[Symbol]]</f>
        <v>Energy</v>
      </c>
      <c r="G70" s="34">
        <f>SUM(H29:H29)/(G67*C24)</f>
        <v>3.5180014255576229E-2</v>
      </c>
      <c r="H70" s="46"/>
      <c r="I70" s="107"/>
      <c r="J70" s="68" t="s">
        <v>77</v>
      </c>
      <c r="K70" s="103">
        <f>(H64+H56)/C25</f>
        <v>3.7833170928246465E-2</v>
      </c>
      <c r="L70"/>
      <c r="M70"/>
      <c r="N70"/>
      <c r="O70"/>
      <c r="P70"/>
      <c r="Q70"/>
    </row>
    <row r="71" spans="1:17" ht="15" customHeight="1" x14ac:dyDescent="0.25">
      <c r="A71" s="44" t="s">
        <v>89</v>
      </c>
      <c r="B71" s="44"/>
      <c r="C71" s="45"/>
      <c r="D71" s="47" t="str">
        <f>Table132[[#This Row],[Symbol]]</f>
        <v>Financials</v>
      </c>
      <c r="E71" s="34">
        <f>ROUND(SUM(G30:G30)/100, 3)</f>
        <v>6.0999999999999999E-2</v>
      </c>
      <c r="F71" s="47" t="str">
        <f>Table132[[#This Row],[Symbol]]</f>
        <v>Financials</v>
      </c>
      <c r="G71" s="51">
        <f>SUM(H30:H30)/(G67*C24)</f>
        <v>6.1224282174145682E-2</v>
      </c>
      <c r="H71" s="46"/>
      <c r="I71" s="94"/>
      <c r="J71" s="68"/>
      <c r="K71" s="102"/>
      <c r="L71"/>
      <c r="M71"/>
      <c r="N71"/>
      <c r="O71"/>
      <c r="P71"/>
      <c r="Q71"/>
    </row>
    <row r="72" spans="1:17" ht="15" customHeight="1" x14ac:dyDescent="0.25">
      <c r="A72" s="44" t="s">
        <v>90</v>
      </c>
      <c r="B72" s="44"/>
      <c r="C72" s="45"/>
      <c r="D72" s="47" t="str">
        <f>Table132[[#This Row],[Symbol]]</f>
        <v>Techs</v>
      </c>
      <c r="E72" s="51">
        <f>ROUND(SUM(G31:G31)/100, 3)</f>
        <v>6.2E-2</v>
      </c>
      <c r="F72" s="47" t="str">
        <f>Table132[[#This Row],[Symbol]]</f>
        <v>Techs</v>
      </c>
      <c r="G72" s="34">
        <f>SUM(H31:H31)/(G67*C24)</f>
        <v>6.1522346564250062E-2</v>
      </c>
      <c r="H72" s="46"/>
      <c r="I72" s="106"/>
      <c r="K72" s="84"/>
      <c r="L72"/>
      <c r="M72"/>
      <c r="N72"/>
      <c r="O72"/>
      <c r="P72"/>
      <c r="Q72"/>
    </row>
    <row r="73" spans="1:17" ht="15" customHeight="1" x14ac:dyDescent="0.25">
      <c r="A73" s="44" t="s">
        <v>50</v>
      </c>
      <c r="B73" s="44"/>
      <c r="C73" s="45"/>
      <c r="D73" s="47" t="str">
        <f>Table132[[#This Row],[Symbol]]</f>
        <v>Semiconductor</v>
      </c>
      <c r="E73" s="34">
        <f>ROUND(SUM(G32:G34)/100, 3)</f>
        <v>0.27600000000000002</v>
      </c>
      <c r="F73" s="47" t="str">
        <f>Table132[[#This Row],[Symbol]]</f>
        <v>Semiconductor</v>
      </c>
      <c r="G73" s="51">
        <f>SUM(H32:H34)/(G67*C24)</f>
        <v>0.27615377163138222</v>
      </c>
      <c r="H73" s="46"/>
      <c r="I73" s="94"/>
      <c r="J73" s="70"/>
      <c r="K73" s="84"/>
      <c r="L73"/>
      <c r="M73"/>
      <c r="N73"/>
      <c r="O73"/>
      <c r="P73"/>
      <c r="Q73"/>
    </row>
    <row r="74" spans="1:17" ht="15.75" customHeight="1" x14ac:dyDescent="0.25">
      <c r="A74" s="44" t="s">
        <v>93</v>
      </c>
      <c r="B74" s="44"/>
      <c r="C74" s="45"/>
      <c r="D74" s="47" t="str">
        <f>Table132[[#This Row],[Symbol]]</f>
        <v>Russell</v>
      </c>
      <c r="E74" s="51">
        <f>ROUND(SUM(G35:G37)/100, 3)</f>
        <v>0.104</v>
      </c>
      <c r="F74" s="47" t="str">
        <f>Table132[[#This Row],[Symbol]]</f>
        <v>Russell</v>
      </c>
      <c r="G74" s="51">
        <f>SUM(H35:H37)/(G67*C24)</f>
        <v>0.10448575237998384</v>
      </c>
      <c r="H74" s="46"/>
      <c r="I74" s="94"/>
      <c r="J74" s="70"/>
      <c r="K74" s="84"/>
      <c r="L74"/>
      <c r="M74"/>
      <c r="N74"/>
      <c r="O74"/>
      <c r="P74"/>
      <c r="Q74"/>
    </row>
    <row r="75" spans="1:17" ht="15.75" customHeight="1" x14ac:dyDescent="0.25">
      <c r="A75" s="44" t="s">
        <v>45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4"/>
      <c r="J75" s="70"/>
      <c r="K75" s="84"/>
      <c r="L75"/>
      <c r="M75"/>
      <c r="N75"/>
      <c r="O75"/>
      <c r="P75"/>
      <c r="Q75"/>
    </row>
    <row r="76" spans="1:17" ht="15.75" customHeight="1" x14ac:dyDescent="0.25">
      <c r="A76" s="44" t="s">
        <v>46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70"/>
      <c r="K76" s="84"/>
      <c r="L76"/>
      <c r="M76"/>
      <c r="N76"/>
      <c r="O76"/>
      <c r="P76"/>
      <c r="Q76"/>
    </row>
    <row r="77" spans="1:17" ht="14.25" customHeight="1" x14ac:dyDescent="0.25">
      <c r="A77" s="44" t="s">
        <v>49</v>
      </c>
      <c r="B77" s="44"/>
      <c r="C77" s="45"/>
      <c r="D77" s="47" t="str">
        <f>Table132[[#This Row],[Symbol]]</f>
        <v>Int Stocks</v>
      </c>
      <c r="E77" s="34">
        <f>ROUND(SUM(G38:G51)/100, 3)</f>
        <v>0.12</v>
      </c>
      <c r="F77" s="47" t="str">
        <f>Table132[[#This Row],[Symbol]]</f>
        <v>Int Stocks</v>
      </c>
      <c r="G77" s="51">
        <f>SUM(H38:H51)/(G67*C24)</f>
        <v>0.12010904346680208</v>
      </c>
      <c r="H77" s="46"/>
      <c r="I77" s="46"/>
      <c r="J77" s="72"/>
      <c r="K77" s="86"/>
      <c r="L77"/>
      <c r="M77"/>
      <c r="N77"/>
      <c r="O77"/>
      <c r="P77"/>
      <c r="Q77"/>
    </row>
    <row r="78" spans="1:17" ht="14.25" customHeight="1" x14ac:dyDescent="0.25">
      <c r="A78" s="44" t="s">
        <v>63</v>
      </c>
      <c r="B78" s="44"/>
      <c r="C78" s="45"/>
      <c r="D78" s="47" t="str">
        <f>Table132[[#This Row],[Symbol]]</f>
        <v>JP Stocks</v>
      </c>
      <c r="E78" s="34">
        <f>ROUND(SUM(G52:G54)/100, 3)</f>
        <v>7.0999999999999994E-2</v>
      </c>
      <c r="F78" s="47" t="str">
        <f>Table132[[#This Row],[Symbol]]</f>
        <v>JP Stocks</v>
      </c>
      <c r="G78" s="51">
        <f>SUM(H52:H54)/(G67*C24)</f>
        <v>7.0971570672086037E-2</v>
      </c>
      <c r="H78" s="46"/>
      <c r="I78" s="63"/>
      <c r="J78" s="68"/>
      <c r="K78" s="82"/>
      <c r="L78"/>
      <c r="M78"/>
      <c r="N78"/>
      <c r="O78"/>
      <c r="P78"/>
      <c r="Q78"/>
    </row>
    <row r="79" spans="1:17" ht="15.75" customHeight="1" x14ac:dyDescent="0.25">
      <c r="A79" s="44" t="s">
        <v>71</v>
      </c>
      <c r="B79" s="44"/>
      <c r="C79" s="45"/>
      <c r="D79" s="47" t="str">
        <f>Table132[[#This Row],[Symbol]]</f>
        <v>Nasdaq</v>
      </c>
      <c r="E79" s="51">
        <f>ROUND(SUM(G55)/100, 3)</f>
        <v>0.11899999999999999</v>
      </c>
      <c r="F79" s="47" t="str">
        <f>Table132[[#This Row],[Symbol]]</f>
        <v>Nasdaq</v>
      </c>
      <c r="G79" s="51">
        <f>SUM(H55)/(G67*C24)</f>
        <v>0.11872056578459939</v>
      </c>
      <c r="H79" s="46"/>
      <c r="I79" s="27"/>
      <c r="J79" s="68"/>
      <c r="K79" s="82"/>
      <c r="L79"/>
      <c r="M79"/>
      <c r="N79"/>
      <c r="O79"/>
      <c r="P79"/>
      <c r="Q79"/>
    </row>
    <row r="80" spans="1:17" ht="15.75" customHeight="1" x14ac:dyDescent="0.25">
      <c r="A80" s="58" t="s">
        <v>51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34">
        <f>SUM(0)/(G67*C24)</f>
        <v>0</v>
      </c>
      <c r="H80" s="46"/>
      <c r="I80" s="27"/>
      <c r="J80" s="71"/>
      <c r="K80" s="85"/>
      <c r="L80"/>
      <c r="M80"/>
      <c r="N80"/>
      <c r="O80"/>
      <c r="P80"/>
      <c r="Q80"/>
    </row>
    <row r="81" spans="1:17" ht="15.75" customHeight="1" x14ac:dyDescent="0.25">
      <c r="A81" s="44" t="s">
        <v>54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51">
        <f>SUM(0)/(G67*C24)</f>
        <v>0</v>
      </c>
      <c r="H81" s="46"/>
      <c r="I81" s="59"/>
      <c r="J81" s="68"/>
      <c r="K81" s="82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ROUND((SUM(G57:G63))/100, 3)</f>
        <v>7.4999999999999997E-2</v>
      </c>
      <c r="F82" s="47" t="str">
        <f>Table132[[#This Row],[Symbol]]</f>
        <v>Bonds</v>
      </c>
      <c r="G82" s="51">
        <f>(SUM(H57:H63))/(G67*C24)</f>
        <v>7.4673242342016444E-2</v>
      </c>
      <c r="H82" s="46"/>
      <c r="I82" s="27"/>
      <c r="J82" s="73"/>
      <c r="K82" s="87"/>
      <c r="L82"/>
      <c r="M82"/>
      <c r="N82"/>
      <c r="O82"/>
      <c r="P82"/>
      <c r="Q82"/>
    </row>
    <row r="83" spans="1:17" ht="14.25" customHeight="1" x14ac:dyDescent="0.25">
      <c r="A83" s="44" t="s">
        <v>58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4"/>
      <c r="K83" s="81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ROUND(SUM(G64)/100,3)</f>
        <v>3.2000000000000001E-2</v>
      </c>
      <c r="F84" s="47" t="str">
        <f>Table132[[#This Row],[Symbol]]</f>
        <v>Gold</v>
      </c>
      <c r="G84" s="51">
        <f>SUM(H64)/(G67*C24)</f>
        <v>3.1949241360071511E-2</v>
      </c>
      <c r="H84" s="34"/>
      <c r="I84" s="28"/>
      <c r="J84" s="75"/>
      <c r="K84" s="88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ROUND(SUM(G56)/100,3)</f>
        <v>5.0000000000000001E-3</v>
      </c>
      <c r="F85" s="47" t="str">
        <f>Table132[[#This Row],[Symbol]]</f>
        <v>Commodities</v>
      </c>
      <c r="G85" s="34">
        <f>SUM(H56)/(G67*C24)</f>
        <v>5.3117098108324025E-3</v>
      </c>
      <c r="H85" s="34"/>
      <c r="I85" s="29"/>
      <c r="J85" s="76"/>
      <c r="K85" s="89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51">
        <f>SUM(0)/(G67*C24)</f>
        <v>0</v>
      </c>
      <c r="H86" s="46"/>
      <c r="I86" s="50"/>
      <c r="J86" s="68"/>
      <c r="K86" s="82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1.5000000000000013E-2</v>
      </c>
      <c r="F87" s="47" t="str">
        <f>Table132[[#This Row],[Symbol]]</f>
        <v>Cash</v>
      </c>
      <c r="G87" s="34">
        <f>1-SUM(G68:G86)</f>
        <v>1.5124816220871473E-2</v>
      </c>
      <c r="H87" s="34"/>
      <c r="I87" s="27"/>
      <c r="J87" s="77"/>
      <c r="K87" s="90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690963.16500000062</v>
      </c>
      <c r="F88" s="31"/>
      <c r="G88" s="34">
        <f>C24*G87</f>
        <v>696712.7257344462</v>
      </c>
      <c r="H88" s="39"/>
      <c r="I88" s="30"/>
      <c r="J88" s="68"/>
      <c r="K88" s="82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8"/>
      <c r="K89" s="82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8"/>
      <c r="K90" s="82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8"/>
      <c r="K91" s="91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2024-04-16T10:13:08Z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