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668" documentId="14_{A48F4B07-3EF3-43E5-91B2-4CA340E6013A}" xr6:coauthVersionLast="47" xr6:coauthVersionMax="47" xr10:uidLastSave="{589B16E7-B780-4104-A68D-0A62406A9899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" i="3" l="1"/>
  <c r="H62" i="3"/>
  <c r="H51" i="3" l="1"/>
  <c r="F51" i="3"/>
  <c r="H48" i="3" l="1"/>
  <c r="F48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4" i="3"/>
  <c r="F34" i="3"/>
  <c r="H35" i="3" l="1"/>
  <c r="H36" i="3"/>
  <c r="H37" i="3"/>
  <c r="F35" i="3"/>
  <c r="F36" i="3"/>
  <c r="F37" i="3"/>
  <c r="F56" i="3"/>
  <c r="H56" i="3"/>
  <c r="E81" i="3" l="1"/>
  <c r="E86" i="3" l="1"/>
  <c r="F55" i="3"/>
  <c r="H55" i="3" l="1"/>
  <c r="E83" i="3"/>
  <c r="E80" i="3"/>
  <c r="H28" i="3"/>
  <c r="F28" i="3"/>
  <c r="E68" i="3"/>
  <c r="H32" i="3"/>
  <c r="F32" i="3"/>
  <c r="F49" i="3" l="1"/>
  <c r="H49" i="3"/>
  <c r="E76" i="3" l="1"/>
  <c r="E75" i="3"/>
  <c r="F53" i="3"/>
  <c r="F78" i="3" l="1"/>
  <c r="D78" i="3"/>
  <c r="F64" i="3" l="1"/>
  <c r="H64" i="3"/>
  <c r="H53" i="3" l="1"/>
  <c r="H52" i="3"/>
  <c r="F52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50" i="3"/>
  <c r="H50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9" i="3" l="1"/>
  <c r="H58" i="3" l="1"/>
  <c r="H60" i="3"/>
  <c r="H61" i="3"/>
  <c r="H63" i="3"/>
  <c r="F58" i="3"/>
  <c r="F59" i="3"/>
  <c r="F60" i="3"/>
  <c r="F61" i="3"/>
  <c r="F63" i="3"/>
  <c r="F38" i="3" l="1"/>
  <c r="F39" i="3"/>
  <c r="F40" i="3"/>
  <c r="F54" i="3"/>
  <c r="F57" i="3"/>
  <c r="H57" i="3"/>
  <c r="H38" i="3" l="1"/>
  <c r="H39" i="3"/>
  <c r="H54" i="3" l="1"/>
  <c r="H33" i="3"/>
  <c r="H41" i="3" l="1"/>
  <c r="H40" i="3"/>
  <c r="C25" i="3" l="1" a="1"/>
  <c r="C25" i="3" s="1"/>
  <c r="K69" i="3" s="1"/>
  <c r="K70" i="3" l="1"/>
  <c r="F41" i="3"/>
  <c r="K68" i="3" l="1"/>
  <c r="F33" i="3"/>
  <c r="C24" i="3"/>
  <c r="C11" i="3" l="1"/>
  <c r="G77" i="3"/>
  <c r="C16" i="3"/>
  <c r="G70" i="3"/>
  <c r="C6" i="3"/>
  <c r="C5" i="3"/>
  <c r="C4" i="3"/>
  <c r="G72" i="3"/>
  <c r="G69" i="3"/>
  <c r="G71" i="3"/>
  <c r="G73" i="3"/>
  <c r="C7" i="3"/>
  <c r="C8" i="3"/>
  <c r="G74" i="3"/>
  <c r="G85" i="3"/>
  <c r="G82" i="3"/>
  <c r="G81" i="3"/>
  <c r="C15" i="3"/>
  <c r="C19" i="3"/>
  <c r="G86" i="3"/>
  <c r="G79" i="3"/>
  <c r="C13" i="3"/>
  <c r="C18" i="3"/>
  <c r="G83" i="3"/>
  <c r="G80" i="3"/>
  <c r="C14" i="3"/>
  <c r="G68" i="3"/>
  <c r="C3" i="3"/>
  <c r="C12" i="3"/>
  <c r="C20" i="3"/>
  <c r="C17" i="3"/>
  <c r="G84" i="3"/>
  <c r="C9" i="3"/>
  <c r="G75" i="3"/>
  <c r="C10" i="3"/>
  <c r="G76" i="3"/>
  <c r="G78" i="3"/>
  <c r="C2" i="3"/>
  <c r="G87" i="3" l="1"/>
  <c r="G88" i="3" s="1"/>
  <c r="E67" i="3" l="1"/>
  <c r="G31" i="3" s="1"/>
  <c r="E72" i="3" s="1"/>
  <c r="G62" i="3" l="1"/>
  <c r="G61" i="3"/>
  <c r="G51" i="3"/>
  <c r="G50" i="3"/>
  <c r="G47" i="3"/>
  <c r="G48" i="3"/>
  <c r="G46" i="3"/>
  <c r="G45" i="3"/>
  <c r="G44" i="3"/>
  <c r="G43" i="3"/>
  <c r="G42" i="3"/>
  <c r="G29" i="3"/>
  <c r="E70" i="3" s="1"/>
  <c r="G28" i="3"/>
  <c r="E69" i="3" s="1"/>
  <c r="G56" i="3"/>
  <c r="E85" i="3" s="1"/>
  <c r="G38" i="3"/>
  <c r="G36" i="3"/>
  <c r="G60" i="3"/>
  <c r="G59" i="3"/>
  <c r="G57" i="3"/>
  <c r="G32" i="3"/>
  <c r="G55" i="3"/>
  <c r="E79" i="3" s="1"/>
  <c r="G35" i="3"/>
  <c r="G39" i="3"/>
  <c r="G53" i="3"/>
  <c r="G52" i="3"/>
  <c r="G54" i="3"/>
  <c r="G58" i="3"/>
  <c r="G37" i="3"/>
  <c r="G34" i="3"/>
  <c r="G33" i="3"/>
  <c r="G30" i="3"/>
  <c r="E71" i="3" s="1"/>
  <c r="G41" i="3"/>
  <c r="G64" i="3"/>
  <c r="E84" i="3" s="1"/>
  <c r="G63" i="3"/>
  <c r="G40" i="3"/>
  <c r="G49" i="3"/>
  <c r="E77" i="3" l="1"/>
  <c r="E73" i="3"/>
  <c r="E78" i="3"/>
  <c r="E74" i="3"/>
  <c r="E82" i="3"/>
  <c r="E87" i="3" l="1"/>
  <c r="E88" i="3" s="1"/>
</calcChain>
</file>

<file path=xl/sharedStrings.xml><?xml version="1.0" encoding="utf-8"?>
<sst xmlns="http://schemas.openxmlformats.org/spreadsheetml/2006/main" count="135" uniqueCount="98">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</sst>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2.5000000000000001E-2</c:v>
                </c:pt>
                <c:pt idx="2">
                  <c:v>3.5999999999999997E-2</c:v>
                </c:pt>
                <c:pt idx="3">
                  <c:v>6.2E-2</c:v>
                </c:pt>
                <c:pt idx="4">
                  <c:v>6.2E-2</c:v>
                </c:pt>
                <c:pt idx="5">
                  <c:v>0.28000000000000003</c:v>
                </c:pt>
                <c:pt idx="6">
                  <c:v>0.106</c:v>
                </c:pt>
                <c:pt idx="7">
                  <c:v>0</c:v>
                </c:pt>
                <c:pt idx="8">
                  <c:v>0</c:v>
                </c:pt>
                <c:pt idx="9">
                  <c:v>0.122</c:v>
                </c:pt>
                <c:pt idx="10">
                  <c:v>7.0999999999999994E-2</c:v>
                </c:pt>
                <c:pt idx="11">
                  <c:v>0.121</c:v>
                </c:pt>
                <c:pt idx="12">
                  <c:v>0</c:v>
                </c:pt>
                <c:pt idx="13">
                  <c:v>0</c:v>
                </c:pt>
                <c:pt idx="14">
                  <c:v>7.6999999999999999E-2</c:v>
                </c:pt>
                <c:pt idx="15">
                  <c:v>0</c:v>
                </c:pt>
                <c:pt idx="16">
                  <c:v>3.3000000000000002E-2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0.69174981330036078</c:v>
                </c:pt>
                <c:pt idx="1">
                  <c:v>0.2701489611994537</c:v>
                </c:pt>
                <c:pt idx="2">
                  <c:v>3.8101225500185527E-2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topLeftCell="A10" zoomScale="120" zoomScaleNormal="120" workbookViewId="0">
      <selection activeCell="I41" sqref="I4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45400</v>
      </c>
      <c r="E1" s="14"/>
      <c r="F1" s="14"/>
      <c r="G1" s="43"/>
      <c r="H1" s="14"/>
      <c r="J1" s="66"/>
      <c r="K1" s="80"/>
    </row>
    <row r="2" spans="1:12" s="13" customFormat="1" x14ac:dyDescent="0.25">
      <c r="A2" s="108" t="s">
        <v>10</v>
      </c>
      <c r="B2" s="108"/>
      <c r="C2" s="15">
        <f>C25/C24</f>
        <v>6.0255664029871845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10" t="s">
        <v>81</v>
      </c>
      <c r="B3" s="111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55</v>
      </c>
      <c r="B4" s="57"/>
      <c r="C4" s="15">
        <f>SUM(H28:H28)/C24</f>
        <v>0.15152853449646447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91</v>
      </c>
      <c r="B5" s="57"/>
      <c r="C5" s="15">
        <f>SUM(H30:H30)/C24</f>
        <v>0.3763348225630514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92</v>
      </c>
      <c r="B6" s="57"/>
      <c r="C6" s="15">
        <f>SUM(H31:H31)/C24</f>
        <v>0.37543165633967684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SUM(H32:H34)/C24</f>
        <v>1.6872623227095009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10" t="s">
        <v>85</v>
      </c>
      <c r="B8" s="111"/>
      <c r="C8" s="15">
        <f>SUM(H35:H37)/C24</f>
        <v>0.63827107816175066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82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83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10" t="s">
        <v>39</v>
      </c>
      <c r="B11" s="111"/>
      <c r="C11" s="15">
        <f>SUM(H38:H51)/C24</f>
        <v>0.7378806294013136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10" t="s">
        <v>64</v>
      </c>
      <c r="B12" s="111"/>
      <c r="C12" s="15">
        <f>SUM(H52:H54)/C24</f>
        <v>0.42700383633541572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10" t="s">
        <v>72</v>
      </c>
      <c r="B13" s="111"/>
      <c r="C13" s="15">
        <f>SUM(H55)/C24</f>
        <v>0.72629400336221361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84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57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10" t="s">
        <v>26</v>
      </c>
      <c r="B16" s="111"/>
      <c r="C16" s="15">
        <f>SUM(H56)/C24</f>
        <v>3.1902036581869853E-2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10" t="s">
        <v>25</v>
      </c>
      <c r="B17" s="111"/>
      <c r="C17" s="15">
        <f>SUM(H57:H63)/C24</f>
        <v>0.46117378559684463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59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10" t="s">
        <v>38</v>
      </c>
      <c r="B20" s="111"/>
      <c r="C20" s="15">
        <f>SUM(H64)/C24</f>
        <v>0.19767942770468663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8" t="s">
        <v>8</v>
      </c>
      <c r="B21" s="108"/>
      <c r="C21" s="18">
        <v>42944863.299999997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8" t="s">
        <v>9</v>
      </c>
      <c r="B24" s="108"/>
      <c r="C24" s="18">
        <f>C21+C22-C23</f>
        <v>42944863.299999997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258767125.48135734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67</v>
      </c>
      <c r="K27" s="93" t="s">
        <v>68</v>
      </c>
    </row>
    <row r="28" spans="1:17" x14ac:dyDescent="0.25">
      <c r="A28" s="44" t="s">
        <v>70</v>
      </c>
      <c r="B28" s="34" t="s">
        <v>14</v>
      </c>
      <c r="C28" s="94">
        <v>138.44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2.5150000000000001</v>
      </c>
      <c r="H28" s="39">
        <f>Table132[[#This Row],[New position]]*Table132[[#This Row],[Last_Price]]</f>
        <v>6507372.2000000002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94</v>
      </c>
      <c r="B29" s="34" t="s">
        <v>14</v>
      </c>
      <c r="C29" s="94">
        <v>94.13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3.5649999999999999</v>
      </c>
      <c r="H29" s="39">
        <f>Table132[[#This Row],[New position]]*Table132[[#This Row],[Last_Price]]</f>
        <v>9224740</v>
      </c>
      <c r="I29" s="98"/>
      <c r="J29" s="95"/>
      <c r="K29" s="95"/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39.729999999999997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6.2450000000000001</v>
      </c>
      <c r="H30" s="39">
        <f>Table132[[#This Row],[New position]]*Table132[[#This Row],[Last_Price]]</f>
        <v>16161647.509999998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34" t="s">
        <v>88</v>
      </c>
      <c r="B31" s="34" t="s">
        <v>14</v>
      </c>
      <c r="C31" s="94">
        <v>199.57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6.23</v>
      </c>
      <c r="H31" s="39">
        <f>Table132[[#This Row],[New position]]*Table132[[#This Row],[Last_Price]]</f>
        <v>16122861.16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44" t="s">
        <v>69</v>
      </c>
      <c r="B32" s="44" t="s">
        <v>14</v>
      </c>
      <c r="C32" s="94">
        <v>214.05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17.244</v>
      </c>
      <c r="H32" s="39">
        <f>Table132[[#This Row],[New position]]*Table132[[#This Row],[Last_Price]]</f>
        <v>44626000.200000003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34" t="s">
        <v>60</v>
      </c>
      <c r="B33" s="34" t="s">
        <v>14</v>
      </c>
      <c r="C33" s="94">
        <v>62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7.6820000000000004</v>
      </c>
      <c r="H33" s="39">
        <f>Table132[[#This Row],[New position]]*Table132[[#This Row],[Last_Price]]</f>
        <v>19879866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 t="s">
        <v>86</v>
      </c>
      <c r="B34" s="44" t="s">
        <v>14</v>
      </c>
      <c r="C34" s="94">
        <v>851.54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3.073</v>
      </c>
      <c r="H34" s="39">
        <f>Table132[[#This Row],[New position]]*Table132[[#This Row],[Last_Price]]</f>
        <v>7953383.5999999996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78</v>
      </c>
      <c r="B35" s="34" t="s">
        <v>14</v>
      </c>
      <c r="C35" s="94">
        <v>54.98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5.6749999999999998</v>
      </c>
      <c r="H35" s="39">
        <f>Table132[[#This Row],[New position]]*Table132[[#This Row],[Last_Price]]</f>
        <v>14687247.239999998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79</v>
      </c>
      <c r="B36" s="44" t="s">
        <v>14</v>
      </c>
      <c r="C36" s="94">
        <v>193.54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4.3540000000000001</v>
      </c>
      <c r="H36" s="39">
        <f>Table132[[#This Row],[New position]]*Table132[[#This Row],[Last_Price]]</f>
        <v>11268672.959999999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44" t="s">
        <v>80</v>
      </c>
      <c r="B37" s="34" t="s">
        <v>14</v>
      </c>
      <c r="C37" s="46">
        <v>45.5</v>
      </c>
      <c r="D37" s="34">
        <v>31968</v>
      </c>
      <c r="E37" s="34">
        <v>31968</v>
      </c>
      <c r="F37" s="33">
        <f>Table132[[#This Row],[New position]]-Table132[[#This Row],[Old position]]</f>
        <v>0</v>
      </c>
      <c r="G37" s="34">
        <f>ROUND(Table132[[#This Row],[Target allocation ($)]]/(IF(G88&gt;0, G67,E67)*C24)*100,3)</f>
        <v>0.56200000000000006</v>
      </c>
      <c r="H37" s="39">
        <f>Table132[[#This Row],[New position]]*Table132[[#This Row],[Last_Price]]</f>
        <v>1454544</v>
      </c>
      <c r="I37" s="105"/>
      <c r="J37" s="95"/>
      <c r="K37" s="95"/>
      <c r="L37"/>
      <c r="M37"/>
      <c r="N37"/>
      <c r="O37"/>
      <c r="P37"/>
      <c r="Q37"/>
    </row>
    <row r="38" spans="1:17" x14ac:dyDescent="0.25">
      <c r="A38" s="34">
        <v>600519</v>
      </c>
      <c r="B38" s="34" t="s">
        <v>14</v>
      </c>
      <c r="C38" s="46">
        <v>233.28351955307301</v>
      </c>
      <c r="D38" s="34">
        <v>900</v>
      </c>
      <c r="E38" s="34">
        <v>900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8.1000000000000003E-2</v>
      </c>
      <c r="H38" s="39">
        <f>Table132[[#This Row],[New position]]*Table132[[#This Row],[Last_Price]]</f>
        <v>209955.16759776571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39.0281329923274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0.23100000000000001</v>
      </c>
      <c r="H39" s="39">
        <f>Table132[[#This Row],[New position]]*Table132[[#This Row],[Last_Price]]</f>
        <v>597130.43478260923</v>
      </c>
      <c r="I39" s="52"/>
      <c r="J39" s="95"/>
      <c r="K39" s="95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8.6892583120204598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7.3999999999999996E-2</v>
      </c>
      <c r="H40" s="39">
        <f>Table132[[#This Row],[New position]]*Table132[[#This Row],[Last_Price]]</f>
        <v>191163.68286445012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4">
        <v>11.962915601022999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7.1999999999999995E-2</v>
      </c>
      <c r="H41" s="39">
        <f>Table132[[#This Row],[New position]]*Table132[[#This Row],[Last_Price]]</f>
        <v>186621.48337595878</v>
      </c>
      <c r="I41" s="27"/>
      <c r="J41" s="95"/>
      <c r="K41" s="95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4">
        <v>0.934782608695652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0.97</v>
      </c>
      <c r="H42" s="39">
        <f>Table132[[#This Row],[New position]]*Table132[[#This Row],[Last_Price]]</f>
        <v>2508956.5217391299</v>
      </c>
      <c r="I42" s="59"/>
      <c r="J42" s="95"/>
      <c r="K42" s="96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4">
        <v>2.3529411764705901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2.3290000000000002</v>
      </c>
      <c r="H43" s="39">
        <f>Table132[[#This Row],[New position]]*Table132[[#This Row],[Last_Price]]</f>
        <v>6028235.2941176519</v>
      </c>
      <c r="I43" s="59"/>
      <c r="J43" s="95"/>
      <c r="K43" s="95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4">
        <v>7.5166240409207203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1.5189999999999999</v>
      </c>
      <c r="H44" s="39">
        <f>Table132[[#This Row],[New position]]*Table132[[#This Row],[Last_Price]]</f>
        <v>3931194.3734015366</v>
      </c>
      <c r="I44" s="59"/>
      <c r="J44" s="95"/>
      <c r="K44" s="95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4">
        <v>1.6074168797954</v>
      </c>
      <c r="D45" s="34">
        <v>169900</v>
      </c>
      <c r="E45" s="34">
        <v>169900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0.106</v>
      </c>
      <c r="H45" s="39">
        <f>Table132[[#This Row],[New position]]*Table132[[#This Row],[Last_Price]]</f>
        <v>273100.12787723844</v>
      </c>
      <c r="I45" s="59"/>
      <c r="J45" s="95"/>
      <c r="K45" s="95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4">
        <v>10.901534526854199</v>
      </c>
      <c r="D46" s="34">
        <v>88000</v>
      </c>
      <c r="E46" s="34">
        <v>88000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0.371</v>
      </c>
      <c r="H46" s="39">
        <f>Table132[[#This Row],[New position]]*Table132[[#This Row],[Last_Price]]</f>
        <v>959335.03836316953</v>
      </c>
      <c r="I46" s="59"/>
      <c r="J46" s="95"/>
      <c r="K46" s="95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4">
        <v>0.43989769820971902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0.39500000000000002</v>
      </c>
      <c r="H47" s="39">
        <f>Table132[[#This Row],[New position]]*Table132[[#This Row],[Last_Price]]</f>
        <v>1022762.1483375967</v>
      </c>
      <c r="I47" s="59"/>
      <c r="J47" s="95"/>
      <c r="K47" s="95"/>
      <c r="L47"/>
      <c r="N47"/>
      <c r="O47"/>
      <c r="P47"/>
      <c r="Q47"/>
    </row>
    <row r="48" spans="1:17" x14ac:dyDescent="0.25">
      <c r="A48" s="34">
        <v>2899</v>
      </c>
      <c r="B48" s="34" t="s">
        <v>14</v>
      </c>
      <c r="C48" s="94">
        <v>2.2659846547314602</v>
      </c>
      <c r="D48" s="34">
        <v>930000</v>
      </c>
      <c r="E48" s="34">
        <v>930000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0.81399999999999995</v>
      </c>
      <c r="H48" s="39">
        <f>Table132[[#This Row],[New position]]*Table132[[#This Row],[Last_Price]]</f>
        <v>2107365.728900258</v>
      </c>
      <c r="I48" s="59"/>
      <c r="J48" s="95"/>
      <c r="K48" s="95"/>
      <c r="L48"/>
      <c r="N48"/>
      <c r="O48"/>
      <c r="P48"/>
      <c r="Q48"/>
    </row>
    <row r="49" spans="1:17" x14ac:dyDescent="0.25">
      <c r="A49" s="34" t="s">
        <v>66</v>
      </c>
      <c r="B49" s="34" t="s">
        <v>14</v>
      </c>
      <c r="C49" s="94">
        <v>43.77</v>
      </c>
      <c r="D49" s="34">
        <v>239592</v>
      </c>
      <c r="E49" s="34">
        <v>239592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4.0519999999999996</v>
      </c>
      <c r="H49" s="39">
        <f>Table132[[#This Row],[New position]]*Table132[[#This Row],[Last_Price]]</f>
        <v>10486941.84</v>
      </c>
      <c r="I49" s="65"/>
      <c r="J49" s="95"/>
      <c r="K49" s="97"/>
      <c r="L49"/>
      <c r="M49"/>
      <c r="N49"/>
      <c r="O49"/>
      <c r="P49"/>
      <c r="Q49"/>
    </row>
    <row r="50" spans="1:17" x14ac:dyDescent="0.25">
      <c r="A50" s="34" t="s">
        <v>53</v>
      </c>
      <c r="B50" s="34" t="s">
        <v>14</v>
      </c>
      <c r="C50" s="46">
        <v>22.92</v>
      </c>
      <c r="D50" s="34">
        <v>13151</v>
      </c>
      <c r="E50" s="34">
        <v>13151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0.11600000000000001</v>
      </c>
      <c r="H50" s="39">
        <f>Table132[[#This Row],[New position]]*Table132[[#This Row],[Last_Price]]</f>
        <v>301420.92000000004</v>
      </c>
      <c r="I50" s="59"/>
      <c r="J50" s="97"/>
      <c r="K50" s="97"/>
      <c r="L50"/>
      <c r="M50"/>
      <c r="N50"/>
      <c r="O50"/>
      <c r="P50"/>
      <c r="Q50"/>
    </row>
    <row r="51" spans="1:17" x14ac:dyDescent="0.25">
      <c r="A51" s="34" t="s">
        <v>96</v>
      </c>
      <c r="B51" s="34" t="s">
        <v>14</v>
      </c>
      <c r="C51" s="46">
        <v>36.049999999999997</v>
      </c>
      <c r="D51" s="34">
        <v>80000</v>
      </c>
      <c r="E51" s="34">
        <v>80000</v>
      </c>
      <c r="F51" s="33">
        <f>ROUND(Table132[[#This Row],[New position]]-Table132[[#This Row],[Old position]], -2)</f>
        <v>0</v>
      </c>
      <c r="G51" s="34">
        <f>ROUND(Table132[[#This Row],[Target allocation ($)]]/(IF(G88&gt;0, G67,E67)*C24)*100,3)</f>
        <v>1.1140000000000001</v>
      </c>
      <c r="H51" s="39">
        <f>Table132[[#This Row],[New position]]*Table132[[#This Row],[Last_Price]]</f>
        <v>2884000</v>
      </c>
      <c r="I51" s="59"/>
      <c r="J51" s="95"/>
      <c r="K51" s="97"/>
      <c r="L51"/>
      <c r="M51"/>
      <c r="N51"/>
      <c r="O51"/>
      <c r="P51"/>
      <c r="Q51"/>
    </row>
    <row r="52" spans="1:17" x14ac:dyDescent="0.25">
      <c r="A52" s="44" t="s">
        <v>52</v>
      </c>
      <c r="B52" s="44" t="s">
        <v>14</v>
      </c>
      <c r="C52" s="46">
        <v>67.41</v>
      </c>
      <c r="D52" s="34">
        <v>21678</v>
      </c>
      <c r="E52" s="34">
        <v>21678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0.56499999999999995</v>
      </c>
      <c r="H52" s="39">
        <f>Table132[[#This Row],[New position]]*Table132[[#This Row],[Last_Price]]</f>
        <v>1461313.98</v>
      </c>
      <c r="I52" s="61"/>
      <c r="J52" s="97"/>
      <c r="K52" s="97"/>
      <c r="L52"/>
      <c r="M52"/>
      <c r="N52"/>
      <c r="O52"/>
      <c r="P52"/>
      <c r="Q52"/>
    </row>
    <row r="53" spans="1:17" x14ac:dyDescent="0.25">
      <c r="A53" s="44" t="s">
        <v>61</v>
      </c>
      <c r="B53" s="44" t="s">
        <v>14</v>
      </c>
      <c r="C53" s="46">
        <v>31.72</v>
      </c>
      <c r="D53" s="34">
        <v>3400</v>
      </c>
      <c r="E53" s="34">
        <v>3400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4.2000000000000003E-2</v>
      </c>
      <c r="H53" s="39">
        <f>Table132[[#This Row],[New position]]*Table132[[#This Row],[Last_Price]]</f>
        <v>107848</v>
      </c>
      <c r="I53" s="61"/>
      <c r="J53" s="97"/>
      <c r="K53" s="97"/>
      <c r="L53"/>
      <c r="M53"/>
      <c r="N53"/>
      <c r="O53"/>
      <c r="P53"/>
      <c r="Q53"/>
    </row>
    <row r="54" spans="1:17" x14ac:dyDescent="0.25">
      <c r="A54" s="44" t="s">
        <v>62</v>
      </c>
      <c r="B54" s="34" t="s">
        <v>14</v>
      </c>
      <c r="C54" s="46">
        <v>105.7</v>
      </c>
      <c r="D54" s="34">
        <v>158642</v>
      </c>
      <c r="E54" s="34">
        <v>158642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6.48</v>
      </c>
      <c r="H54" s="39">
        <f>Table132[[#This Row],[New position]]*Table132[[#This Row],[Last_Price]]</f>
        <v>16768459.4</v>
      </c>
      <c r="I54" s="49"/>
      <c r="J54" s="95"/>
      <c r="K54" s="97"/>
      <c r="L54"/>
      <c r="M54"/>
      <c r="N54"/>
      <c r="O54"/>
      <c r="P54"/>
      <c r="Q54"/>
    </row>
    <row r="55" spans="1:17" x14ac:dyDescent="0.25">
      <c r="A55" s="44" t="s">
        <v>11</v>
      </c>
      <c r="B55" s="34" t="s">
        <v>14</v>
      </c>
      <c r="C55" s="46">
        <v>427.79</v>
      </c>
      <c r="D55" s="34">
        <v>72911</v>
      </c>
      <c r="E55" s="34">
        <v>72911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12.053000000000001</v>
      </c>
      <c r="H55" s="39">
        <f>Table132[[#This Row],[New position]]*Table132[[#This Row],[Last_Price]]</f>
        <v>31190596.690000001</v>
      </c>
      <c r="I55" s="99"/>
      <c r="J55" s="95"/>
      <c r="K55" s="97"/>
      <c r="L55"/>
      <c r="M55"/>
      <c r="N55"/>
      <c r="O55"/>
      <c r="P55"/>
      <c r="Q55"/>
    </row>
    <row r="56" spans="1:17" x14ac:dyDescent="0.25">
      <c r="A56" s="44" t="s">
        <v>31</v>
      </c>
      <c r="B56" s="34" t="s">
        <v>14</v>
      </c>
      <c r="C56" s="46">
        <v>49.95</v>
      </c>
      <c r="D56" s="34">
        <v>27428</v>
      </c>
      <c r="E56" s="34">
        <v>27428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0.52900000000000003</v>
      </c>
      <c r="H56" s="39">
        <f>Table132[[#This Row],[New position]]*Table132[[#This Row],[Last_Price]]</f>
        <v>1370028.6</v>
      </c>
      <c r="I56" s="100"/>
      <c r="J56" s="95"/>
      <c r="K56" s="97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78.34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1.099</v>
      </c>
      <c r="H57" s="39">
        <f>Table132[[#This Row],[New position]]*Table132[[#This Row],[Last_Price]]</f>
        <v>2844682.08</v>
      </c>
      <c r="I57" s="26"/>
      <c r="J57" s="97"/>
      <c r="K57" s="97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70.010000000000005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1.0369999999999999</v>
      </c>
      <c r="H58" s="39">
        <f>Table132[[#This Row],[New position]]*Table132[[#This Row],[Last_Price]]</f>
        <v>2684883.5</v>
      </c>
      <c r="I58" s="26"/>
      <c r="J58" s="97"/>
      <c r="K58" s="97"/>
      <c r="L58"/>
      <c r="M58"/>
      <c r="N58"/>
      <c r="O58"/>
      <c r="P58"/>
      <c r="Q58"/>
    </row>
    <row r="59" spans="1:17" x14ac:dyDescent="0.25">
      <c r="A59" s="44" t="s">
        <v>40</v>
      </c>
      <c r="B59" s="44" t="s">
        <v>14</v>
      </c>
      <c r="C59" s="46">
        <v>89.55</v>
      </c>
      <c r="D59" s="34">
        <v>63975</v>
      </c>
      <c r="E59" s="34">
        <v>63975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2.214</v>
      </c>
      <c r="H59" s="39">
        <f>Table132[[#This Row],[New position]]*Table132[[#This Row],[Last_Price]]</f>
        <v>5728961.25</v>
      </c>
      <c r="I59" s="26"/>
      <c r="J59" s="95"/>
      <c r="K59" s="97"/>
      <c r="L59"/>
      <c r="M59"/>
      <c r="N59"/>
      <c r="O59"/>
      <c r="P59"/>
      <c r="Q59"/>
    </row>
    <row r="60" spans="1:17" x14ac:dyDescent="0.25">
      <c r="A60" s="44" t="s">
        <v>43</v>
      </c>
      <c r="B60" s="44" t="s">
        <v>14</v>
      </c>
      <c r="C60" s="46">
        <v>105.11</v>
      </c>
      <c r="D60" s="34">
        <v>26725</v>
      </c>
      <c r="E60" s="34">
        <v>26725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1.085</v>
      </c>
      <c r="H60" s="39">
        <f>Table132[[#This Row],[New position]]*Table132[[#This Row],[Last_Price]]</f>
        <v>2809064.75</v>
      </c>
      <c r="I60" s="53"/>
      <c r="J60" s="97"/>
      <c r="K60" s="97"/>
      <c r="L60"/>
      <c r="M60"/>
      <c r="N60"/>
      <c r="O60"/>
      <c r="P60"/>
      <c r="Q60"/>
    </row>
    <row r="61" spans="1:17" x14ac:dyDescent="0.25">
      <c r="A61" s="44" t="s">
        <v>48</v>
      </c>
      <c r="B61" s="44" t="s">
        <v>14</v>
      </c>
      <c r="C61" s="46">
        <v>35.61</v>
      </c>
      <c r="D61" s="34">
        <v>78324</v>
      </c>
      <c r="E61" s="34">
        <v>78324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1.0780000000000001</v>
      </c>
      <c r="H61" s="39">
        <f>Table132[[#This Row],[New position]]*Table132[[#This Row],[Last_Price]]</f>
        <v>2789117.64</v>
      </c>
      <c r="I61" s="53"/>
      <c r="J61" s="97"/>
      <c r="K61" s="97"/>
      <c r="L61"/>
      <c r="M61"/>
      <c r="N61"/>
      <c r="O61"/>
      <c r="P61"/>
      <c r="Q61"/>
    </row>
    <row r="62" spans="1:17" x14ac:dyDescent="0.25">
      <c r="A62" s="44" t="s">
        <v>97</v>
      </c>
      <c r="B62" s="44" t="s">
        <v>14</v>
      </c>
      <c r="C62" s="46">
        <v>17.02</v>
      </c>
      <c r="D62" s="34">
        <v>115300</v>
      </c>
      <c r="E62" s="34">
        <v>115300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0.75800000000000001</v>
      </c>
      <c r="H62" s="39">
        <f>Table132[[#This Row],[New position]]*Table132[[#This Row],[Last_Price]]</f>
        <v>1962406</v>
      </c>
      <c r="I62" s="53"/>
      <c r="J62" s="95"/>
      <c r="K62" s="97"/>
      <c r="L62"/>
      <c r="M62"/>
      <c r="N62"/>
      <c r="O62"/>
      <c r="P62"/>
      <c r="Q62"/>
    </row>
    <row r="63" spans="1:17" x14ac:dyDescent="0.25">
      <c r="A63" s="44" t="s">
        <v>65</v>
      </c>
      <c r="B63" s="44" t="s">
        <v>14</v>
      </c>
      <c r="C63" s="46">
        <v>46.92</v>
      </c>
      <c r="D63" s="34">
        <v>21013</v>
      </c>
      <c r="E63" s="34">
        <v>21013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0.38100000000000001</v>
      </c>
      <c r="H63" s="39">
        <f>Table132[[#This Row],[New position]]*Table132[[#This Row],[Last_Price]]</f>
        <v>985929.96000000008</v>
      </c>
      <c r="I63" s="53"/>
      <c r="J63" s="97"/>
      <c r="K63" s="97"/>
      <c r="L63"/>
      <c r="M63"/>
      <c r="N63"/>
      <c r="O63"/>
      <c r="P63"/>
      <c r="Q63"/>
    </row>
    <row r="64" spans="1:17" x14ac:dyDescent="0.25">
      <c r="A64" s="44" t="s">
        <v>44</v>
      </c>
      <c r="B64" s="44" t="s">
        <v>14</v>
      </c>
      <c r="C64" s="46">
        <v>220.25</v>
      </c>
      <c r="D64" s="34">
        <v>38544</v>
      </c>
      <c r="E64" s="34">
        <v>38544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3.28</v>
      </c>
      <c r="H64" s="39">
        <f>Table132[[#This Row],[New position]]*Table132[[#This Row],[Last_Price]]</f>
        <v>8489316</v>
      </c>
      <c r="I64" s="62"/>
      <c r="J64" s="97"/>
      <c r="K64" s="97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9"/>
      <c r="K65" s="83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41</v>
      </c>
      <c r="F66" s="31"/>
      <c r="G66" s="55" t="s">
        <v>42</v>
      </c>
      <c r="H66" s="46"/>
      <c r="I66" s="48"/>
      <c r="J66" s="69"/>
      <c r="K66" s="83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6.025999999999998</v>
      </c>
      <c r="F67" s="31"/>
      <c r="G67" s="34">
        <v>6.0259999999999998</v>
      </c>
      <c r="H67" s="46"/>
      <c r="I67" s="48"/>
      <c r="J67" s="101" t="s">
        <v>73</v>
      </c>
      <c r="K67" s="82" t="s">
        <v>74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4"/>
      <c r="J68" s="68" t="s">
        <v>75</v>
      </c>
      <c r="K68" s="104">
        <f>1-SUM(K69:K70)</f>
        <v>0.69174981330036078</v>
      </c>
      <c r="L68"/>
      <c r="M68"/>
      <c r="N68"/>
      <c r="O68"/>
      <c r="P68"/>
      <c r="Q68"/>
    </row>
    <row r="69" spans="1:17" ht="15" customHeight="1" x14ac:dyDescent="0.25">
      <c r="A69" s="44" t="s">
        <v>56</v>
      </c>
      <c r="B69" s="44"/>
      <c r="C69" s="45"/>
      <c r="D69" s="47" t="str">
        <f>Table132[[#This Row],[Symbol]]</f>
        <v>Healthcare</v>
      </c>
      <c r="E69" s="34">
        <f>ROUND(SUM(G28:G28)/100, 3)</f>
        <v>2.5000000000000001E-2</v>
      </c>
      <c r="F69" s="47" t="str">
        <f>Table132[[#This Row],[Symbol]]</f>
        <v>Healthcare</v>
      </c>
      <c r="G69" s="34">
        <f>SUM(H28:H28)/(G67*C24)</f>
        <v>2.5145790656565629E-2</v>
      </c>
      <c r="H69" s="46"/>
      <c r="I69" s="94"/>
      <c r="J69" s="68" t="s">
        <v>76</v>
      </c>
      <c r="K69" s="102">
        <f>(SUM(H38:H54)+H33)/C25</f>
        <v>0.2701489611994537</v>
      </c>
      <c r="L69"/>
      <c r="M69"/>
      <c r="N69"/>
      <c r="O69"/>
      <c r="P69"/>
      <c r="Q69"/>
    </row>
    <row r="70" spans="1:17" ht="15" customHeight="1" x14ac:dyDescent="0.25">
      <c r="A70" s="44" t="s">
        <v>95</v>
      </c>
      <c r="B70" s="44"/>
      <c r="C70" s="45"/>
      <c r="D70" s="47" t="str">
        <f>Table132[[#This Row],[Symbol]]</f>
        <v>Energy</v>
      </c>
      <c r="E70" s="34">
        <f>ROUND(SUM(G29:G29)/100, 3)</f>
        <v>3.5999999999999997E-2</v>
      </c>
      <c r="F70" s="47" t="str">
        <f>Table132[[#This Row],[Symbol]]</f>
        <v>Energy</v>
      </c>
      <c r="G70" s="34">
        <f>SUM(H29:H29)/(G67*C24)</f>
        <v>3.564624456262809E-2</v>
      </c>
      <c r="H70" s="46"/>
      <c r="I70" s="107"/>
      <c r="J70" s="68" t="s">
        <v>77</v>
      </c>
      <c r="K70" s="103">
        <f>(H64+H56)/C25</f>
        <v>3.8101225500185527E-2</v>
      </c>
      <c r="L70"/>
      <c r="M70"/>
      <c r="N70"/>
      <c r="O70"/>
      <c r="P70"/>
      <c r="Q70"/>
    </row>
    <row r="71" spans="1:17" ht="15" customHeight="1" x14ac:dyDescent="0.25">
      <c r="A71" s="44" t="s">
        <v>89</v>
      </c>
      <c r="B71" s="44"/>
      <c r="C71" s="45"/>
      <c r="D71" s="47" t="str">
        <f>Table132[[#This Row],[Symbol]]</f>
        <v>Financials</v>
      </c>
      <c r="E71" s="34">
        <f>ROUND(SUM(G30:G30)/100, 3)</f>
        <v>6.2E-2</v>
      </c>
      <c r="F71" s="47" t="str">
        <f>Table132[[#This Row],[Symbol]]</f>
        <v>Financials</v>
      </c>
      <c r="G71" s="51">
        <f>SUM(H30:H30)/(G67*C24)</f>
        <v>6.2451845762205686E-2</v>
      </c>
      <c r="H71" s="46"/>
      <c r="I71" s="94"/>
      <c r="J71" s="68"/>
      <c r="K71" s="102"/>
      <c r="L71"/>
      <c r="M71"/>
      <c r="N71"/>
      <c r="O71"/>
      <c r="P71"/>
      <c r="Q71"/>
    </row>
    <row r="72" spans="1:17" ht="15" customHeight="1" x14ac:dyDescent="0.25">
      <c r="A72" s="44" t="s">
        <v>90</v>
      </c>
      <c r="B72" s="44"/>
      <c r="C72" s="45"/>
      <c r="D72" s="47" t="str">
        <f>Table132[[#This Row],[Symbol]]</f>
        <v>Techs</v>
      </c>
      <c r="E72" s="51">
        <f>ROUND(SUM(G31:G31)/100, 3)</f>
        <v>6.2E-2</v>
      </c>
      <c r="F72" s="47" t="str">
        <f>Table132[[#This Row],[Symbol]]</f>
        <v>Techs</v>
      </c>
      <c r="G72" s="34">
        <f>SUM(H31:H31)/(G67*C24)</f>
        <v>6.2301967530646679E-2</v>
      </c>
      <c r="H72" s="46"/>
      <c r="I72" s="106"/>
      <c r="K72" s="84"/>
      <c r="L72"/>
      <c r="M72"/>
      <c r="N72"/>
      <c r="O72"/>
      <c r="P72"/>
      <c r="Q72"/>
    </row>
    <row r="73" spans="1:17" ht="15" customHeight="1" x14ac:dyDescent="0.25">
      <c r="A73" s="44" t="s">
        <v>50</v>
      </c>
      <c r="B73" s="44"/>
      <c r="C73" s="45"/>
      <c r="D73" s="47" t="str">
        <f>Table132[[#This Row],[Symbol]]</f>
        <v>Semiconductor</v>
      </c>
      <c r="E73" s="34">
        <f>ROUND(SUM(G32:G34)/100, 3)</f>
        <v>0.28000000000000003</v>
      </c>
      <c r="F73" s="47" t="str">
        <f>Table132[[#This Row],[Symbol]]</f>
        <v>Semiconductor</v>
      </c>
      <c r="G73" s="51">
        <f>SUM(H32:H34)/(G67*C24)</f>
        <v>0.2799970664967642</v>
      </c>
      <c r="H73" s="46"/>
      <c r="I73" s="94"/>
      <c r="J73" s="70"/>
      <c r="K73" s="84"/>
      <c r="L73"/>
      <c r="M73"/>
      <c r="N73"/>
      <c r="O73"/>
      <c r="P73"/>
      <c r="Q73"/>
    </row>
    <row r="74" spans="1:17" ht="15.75" customHeight="1" x14ac:dyDescent="0.25">
      <c r="A74" s="44" t="s">
        <v>93</v>
      </c>
      <c r="B74" s="44"/>
      <c r="C74" s="45"/>
      <c r="D74" s="47" t="str">
        <f>Table132[[#This Row],[Symbol]]</f>
        <v>Russell</v>
      </c>
      <c r="E74" s="51">
        <f>ROUND(SUM(G35:G37)/100, 3)</f>
        <v>0.106</v>
      </c>
      <c r="F74" s="47" t="str">
        <f>Table132[[#This Row],[Symbol]]</f>
        <v>Russell</v>
      </c>
      <c r="G74" s="51">
        <f>SUM(H35:H37)/(G67*C24)</f>
        <v>0.10591952840387499</v>
      </c>
      <c r="H74" s="46"/>
      <c r="I74" s="94"/>
      <c r="J74" s="70"/>
      <c r="K74" s="84"/>
      <c r="L74"/>
      <c r="M74"/>
      <c r="N74"/>
      <c r="O74"/>
      <c r="P74"/>
      <c r="Q74"/>
    </row>
    <row r="75" spans="1:17" ht="15.75" customHeight="1" x14ac:dyDescent="0.25">
      <c r="A75" s="44" t="s">
        <v>45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4"/>
      <c r="J75" s="70"/>
      <c r="K75" s="84"/>
      <c r="L75"/>
      <c r="M75"/>
      <c r="N75"/>
      <c r="O75"/>
      <c r="P75"/>
      <c r="Q75"/>
    </row>
    <row r="76" spans="1:17" ht="15.75" customHeight="1" x14ac:dyDescent="0.25">
      <c r="A76" s="44" t="s">
        <v>46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70"/>
      <c r="K76" s="84"/>
      <c r="L76"/>
      <c r="M76"/>
      <c r="N76"/>
      <c r="O76"/>
      <c r="P76"/>
      <c r="Q76"/>
    </row>
    <row r="77" spans="1:17" ht="14.25" customHeight="1" x14ac:dyDescent="0.25">
      <c r="A77" s="44" t="s">
        <v>49</v>
      </c>
      <c r="B77" s="44"/>
      <c r="C77" s="45"/>
      <c r="D77" s="47" t="str">
        <f>Table132[[#This Row],[Symbol]]</f>
        <v>Int Stocks</v>
      </c>
      <c r="E77" s="34">
        <f>ROUND(SUM(G38:G51)/100, 3)</f>
        <v>0.122</v>
      </c>
      <c r="F77" s="47" t="str">
        <f>Table132[[#This Row],[Symbol]]</f>
        <v>Int Stocks</v>
      </c>
      <c r="G77" s="51">
        <f>SUM(H38:H51)/(G67*C24)</f>
        <v>0.12244949044163851</v>
      </c>
      <c r="H77" s="46"/>
      <c r="I77" s="46"/>
      <c r="J77" s="72"/>
      <c r="K77" s="86"/>
      <c r="L77"/>
      <c r="M77"/>
      <c r="N77"/>
      <c r="O77"/>
      <c r="P77"/>
      <c r="Q77"/>
    </row>
    <row r="78" spans="1:17" ht="14.25" customHeight="1" x14ac:dyDescent="0.25">
      <c r="A78" s="44" t="s">
        <v>63</v>
      </c>
      <c r="B78" s="44"/>
      <c r="C78" s="45"/>
      <c r="D78" s="47" t="str">
        <f>Table132[[#This Row],[Symbol]]</f>
        <v>JP Stocks</v>
      </c>
      <c r="E78" s="34">
        <f>ROUND(SUM(G52:G54)/100, 3)</f>
        <v>7.0999999999999994E-2</v>
      </c>
      <c r="F78" s="47" t="str">
        <f>Table132[[#This Row],[Symbol]]</f>
        <v>JP Stocks</v>
      </c>
      <c r="G78" s="51">
        <f>SUM(H52:H54)/(G67*C24)</f>
        <v>7.0860244994260829E-2</v>
      </c>
      <c r="H78" s="46"/>
      <c r="I78" s="63"/>
      <c r="J78" s="68"/>
      <c r="K78" s="82"/>
      <c r="L78"/>
      <c r="M78"/>
      <c r="N78"/>
      <c r="O78"/>
      <c r="P78"/>
      <c r="Q78"/>
    </row>
    <row r="79" spans="1:17" ht="15.75" customHeight="1" x14ac:dyDescent="0.25">
      <c r="A79" s="44" t="s">
        <v>71</v>
      </c>
      <c r="B79" s="44"/>
      <c r="C79" s="45"/>
      <c r="D79" s="47" t="str">
        <f>Table132[[#This Row],[Symbol]]</f>
        <v>Nasdaq</v>
      </c>
      <c r="E79" s="51">
        <f>ROUND(SUM(G55)/100, 3)</f>
        <v>0.121</v>
      </c>
      <c r="F79" s="47" t="str">
        <f>Table132[[#This Row],[Symbol]]</f>
        <v>Nasdaq</v>
      </c>
      <c r="G79" s="51">
        <f>SUM(H55)/(G67*C24)</f>
        <v>0.12052671811520306</v>
      </c>
      <c r="H79" s="46"/>
      <c r="I79" s="27"/>
      <c r="J79" s="68"/>
      <c r="K79" s="82"/>
      <c r="L79"/>
      <c r="M79"/>
      <c r="N79"/>
      <c r="O79"/>
      <c r="P79"/>
      <c r="Q79"/>
    </row>
    <row r="80" spans="1:17" ht="15.75" customHeight="1" x14ac:dyDescent="0.25">
      <c r="A80" s="58" t="s">
        <v>51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34">
        <f>SUM(0)/(G67*C24)</f>
        <v>0</v>
      </c>
      <c r="H80" s="46"/>
      <c r="I80" s="27"/>
      <c r="J80" s="71"/>
      <c r="K80" s="85"/>
      <c r="L80"/>
      <c r="M80"/>
      <c r="N80"/>
      <c r="O80"/>
      <c r="P80"/>
      <c r="Q80"/>
    </row>
    <row r="81" spans="1:17" ht="15.75" customHeight="1" x14ac:dyDescent="0.25">
      <c r="A81" s="44" t="s">
        <v>54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51">
        <f>SUM(0)/(G67*C24)</f>
        <v>0</v>
      </c>
      <c r="H81" s="46"/>
      <c r="I81" s="59"/>
      <c r="J81" s="68"/>
      <c r="K81" s="82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ROUND((SUM(G57:G63))/100, 3)</f>
        <v>7.6999999999999999E-2</v>
      </c>
      <c r="F82" s="47" t="str">
        <f>Table132[[#This Row],[Symbol]]</f>
        <v>Bonds</v>
      </c>
      <c r="G82" s="51">
        <f>(SUM(H57:H63))/(G67*C24)</f>
        <v>7.6530664719025004E-2</v>
      </c>
      <c r="H82" s="46"/>
      <c r="I82" s="27"/>
      <c r="J82" s="73"/>
      <c r="K82" s="87"/>
      <c r="L82"/>
      <c r="M82"/>
      <c r="N82"/>
      <c r="O82"/>
      <c r="P82"/>
      <c r="Q82"/>
    </row>
    <row r="83" spans="1:17" ht="14.25" customHeight="1" x14ac:dyDescent="0.25">
      <c r="A83" s="44" t="s">
        <v>58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4"/>
      <c r="K83" s="81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ROUND(SUM(G64)/100,3)</f>
        <v>3.3000000000000002E-2</v>
      </c>
      <c r="F84" s="47" t="str">
        <f>Table132[[#This Row],[Symbol]]</f>
        <v>Gold</v>
      </c>
      <c r="G84" s="51">
        <f>SUM(H64)/(G67*C24)</f>
        <v>3.2804418802636355E-2</v>
      </c>
      <c r="H84" s="34"/>
      <c r="I84" s="28"/>
      <c r="J84" s="75"/>
      <c r="K84" s="88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ROUND(SUM(G56)/100,3)</f>
        <v>5.0000000000000001E-3</v>
      </c>
      <c r="F85" s="47" t="str">
        <f>Table132[[#This Row],[Symbol]]</f>
        <v>Commodities</v>
      </c>
      <c r="G85" s="34">
        <f>SUM(H56)/(G67*C24)</f>
        <v>5.2940651480036273E-3</v>
      </c>
      <c r="H85" s="34"/>
      <c r="I85" s="29"/>
      <c r="J85" s="76"/>
      <c r="K85" s="89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51">
        <f>SUM(0)/(G67*C24)</f>
        <v>0</v>
      </c>
      <c r="H86" s="46"/>
      <c r="I86" s="50"/>
      <c r="J86" s="68"/>
      <c r="K86" s="82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0</v>
      </c>
      <c r="F87" s="47" t="str">
        <f>Table132[[#This Row],[Symbol]]</f>
        <v>Cash</v>
      </c>
      <c r="G87" s="34">
        <f>1-SUM(G68:G86)</f>
        <v>7.1954366547166693E-5</v>
      </c>
      <c r="H87" s="34"/>
      <c r="I87" s="27"/>
      <c r="J87" s="77"/>
      <c r="K87" s="90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0</v>
      </c>
      <c r="F88" s="31"/>
      <c r="G88" s="34">
        <f>C24*G87</f>
        <v>3090.0704352061666</v>
      </c>
      <c r="H88" s="39"/>
      <c r="I88" s="30"/>
      <c r="J88" s="68"/>
      <c r="K88" s="82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8"/>
      <c r="K89" s="82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8"/>
      <c r="K90" s="82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8"/>
      <c r="K91" s="91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2024-04-18T08:37:34Z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