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797" documentId="14_{A48F4B07-3EF3-43E5-91B2-4CA340E6013A}" xr6:coauthVersionLast="47" xr6:coauthVersionMax="47" xr10:uidLastSave="{70767FFC-CEC5-4E42-8662-D63793828904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3" l="1"/>
  <c r="H53" i="3"/>
  <c r="F61" i="3"/>
  <c r="F53" i="3"/>
  <c r="F58" i="3" l="1"/>
  <c r="H58" i="3"/>
  <c r="H48" i="3" l="1"/>
  <c r="F48" i="3"/>
  <c r="H46" i="3" l="1"/>
  <c r="F46" i="3"/>
  <c r="H45" i="3"/>
  <c r="F45" i="3"/>
  <c r="H43" i="3" l="1"/>
  <c r="H44" i="3"/>
  <c r="F42" i="3"/>
  <c r="F43" i="3"/>
  <c r="F44" i="3"/>
  <c r="H42" i="3" l="1"/>
  <c r="F67" i="3"/>
  <c r="D67" i="3"/>
  <c r="F29" i="3" l="1"/>
  <c r="H29" i="3"/>
  <c r="F68" i="3" l="1"/>
  <c r="F69" i="3"/>
  <c r="D68" i="3"/>
  <c r="D69" i="3"/>
  <c r="H30" i="3"/>
  <c r="H31" i="3"/>
  <c r="F30" i="3"/>
  <c r="F31" i="3"/>
  <c r="H33" i="3"/>
  <c r="F33" i="3"/>
  <c r="H34" i="3" l="1"/>
  <c r="H35" i="3"/>
  <c r="F34" i="3"/>
  <c r="F35" i="3"/>
  <c r="F52" i="3"/>
  <c r="H52" i="3"/>
  <c r="G82" i="3" l="1"/>
  <c r="C16" i="3"/>
  <c r="E78" i="3"/>
  <c r="E83" i="3" l="1"/>
  <c r="F51" i="3"/>
  <c r="H51" i="3" l="1"/>
  <c r="C13" i="3" s="1"/>
  <c r="E80" i="3"/>
  <c r="E77" i="3"/>
  <c r="H28" i="3"/>
  <c r="F28" i="3"/>
  <c r="E65" i="3"/>
  <c r="H32" i="3"/>
  <c r="F32" i="3"/>
  <c r="F47" i="3" l="1"/>
  <c r="H47" i="3"/>
  <c r="E73" i="3" l="1"/>
  <c r="E72" i="3"/>
  <c r="F75" i="3" l="1"/>
  <c r="D75" i="3"/>
  <c r="F60" i="3" l="1"/>
  <c r="H60" i="3"/>
  <c r="C20" i="3" l="1"/>
  <c r="G81" i="3"/>
  <c r="D80" i="3"/>
  <c r="F80" i="3"/>
  <c r="D66" i="3" l="1"/>
  <c r="D70" i="3"/>
  <c r="D71" i="3"/>
  <c r="D72" i="3"/>
  <c r="D73" i="3"/>
  <c r="D74" i="3"/>
  <c r="D76" i="3"/>
  <c r="D77" i="3"/>
  <c r="D78" i="3"/>
  <c r="D79" i="3"/>
  <c r="D81" i="3"/>
  <c r="D82" i="3"/>
  <c r="D83" i="3"/>
  <c r="D84" i="3"/>
  <c r="F66" i="3"/>
  <c r="H41" i="3"/>
  <c r="F41" i="3"/>
  <c r="F40" i="3" l="1"/>
  <c r="H40" i="3"/>
  <c r="F78" i="3"/>
  <c r="D65" i="3" l="1"/>
  <c r="F74" i="3"/>
  <c r="F72" i="3"/>
  <c r="F71" i="3"/>
  <c r="F70" i="3"/>
  <c r="F65" i="3"/>
  <c r="F77" i="3"/>
  <c r="F73" i="3" l="1"/>
  <c r="F76" i="3"/>
  <c r="F79" i="3"/>
  <c r="F81" i="3"/>
  <c r="F82" i="3"/>
  <c r="F83" i="3"/>
  <c r="F84" i="3"/>
  <c r="H55" i="3" l="1"/>
  <c r="H56" i="3"/>
  <c r="H57" i="3"/>
  <c r="H59" i="3"/>
  <c r="F55" i="3"/>
  <c r="F56" i="3"/>
  <c r="F57" i="3"/>
  <c r="F59" i="3"/>
  <c r="F36" i="3" l="1"/>
  <c r="F37" i="3"/>
  <c r="F38" i="3"/>
  <c r="F50" i="3"/>
  <c r="F54" i="3"/>
  <c r="H54" i="3"/>
  <c r="C17" i="3" s="1"/>
  <c r="H36" i="3" l="1"/>
  <c r="H37" i="3"/>
  <c r="H50" i="3" l="1"/>
  <c r="H49" i="3"/>
  <c r="H39" i="3" l="1"/>
  <c r="H38" i="3"/>
  <c r="G74" i="3" l="1"/>
  <c r="C25" i="3" a="1"/>
  <c r="C25" i="3" s="1"/>
  <c r="K66" i="3" l="1"/>
  <c r="K67" i="3"/>
  <c r="F39" i="3"/>
  <c r="K65" i="3" l="1"/>
  <c r="F49" i="3"/>
  <c r="C24" i="3"/>
  <c r="C7" i="3" l="1"/>
  <c r="C11" i="3"/>
  <c r="G67" i="3"/>
  <c r="C6" i="3"/>
  <c r="C5" i="3"/>
  <c r="C4" i="3"/>
  <c r="G69" i="3"/>
  <c r="G66" i="3"/>
  <c r="G68" i="3"/>
  <c r="G70" i="3"/>
  <c r="C8" i="3"/>
  <c r="G71" i="3"/>
  <c r="G79" i="3"/>
  <c r="G78" i="3"/>
  <c r="C15" i="3"/>
  <c r="C19" i="3"/>
  <c r="G83" i="3"/>
  <c r="G76" i="3"/>
  <c r="C18" i="3"/>
  <c r="G80" i="3"/>
  <c r="G77" i="3"/>
  <c r="C14" i="3"/>
  <c r="G65" i="3"/>
  <c r="C3" i="3"/>
  <c r="C12" i="3"/>
  <c r="C9" i="3"/>
  <c r="G72" i="3"/>
  <c r="C10" i="3"/>
  <c r="G73" i="3"/>
  <c r="G75" i="3"/>
  <c r="C2" i="3"/>
  <c r="G84" i="3" l="1"/>
  <c r="G85" i="3" s="1"/>
  <c r="E64" i="3" l="1"/>
  <c r="G39" i="3" s="1"/>
  <c r="G61" i="3"/>
  <c r="G49" i="3" l="1"/>
  <c r="G43" i="3"/>
  <c r="G55" i="3"/>
  <c r="G30" i="3"/>
  <c r="E68" i="3" s="1"/>
  <c r="G40" i="3"/>
  <c r="G54" i="3"/>
  <c r="G53" i="3"/>
  <c r="G41" i="3"/>
  <c r="G33" i="3"/>
  <c r="G38" i="3"/>
  <c r="G59" i="3"/>
  <c r="G45" i="3"/>
  <c r="G57" i="3"/>
  <c r="G52" i="3"/>
  <c r="G28" i="3"/>
  <c r="E66" i="3" s="1"/>
  <c r="G42" i="3"/>
  <c r="G35" i="3"/>
  <c r="G37" i="3"/>
  <c r="G31" i="3"/>
  <c r="E69" i="3" s="1"/>
  <c r="G36" i="3"/>
  <c r="G60" i="3"/>
  <c r="E81" i="3" s="1"/>
  <c r="G32" i="3"/>
  <c r="G44" i="3"/>
  <c r="G58" i="3"/>
  <c r="G51" i="3"/>
  <c r="E76" i="3" s="1"/>
  <c r="G46" i="3"/>
  <c r="G56" i="3"/>
  <c r="G47" i="3"/>
  <c r="G50" i="3"/>
  <c r="E75" i="3" s="1"/>
  <c r="G29" i="3"/>
  <c r="E67" i="3" s="1"/>
  <c r="G48" i="3"/>
  <c r="G34" i="3"/>
  <c r="E71" i="3" l="1"/>
  <c r="E82" i="3"/>
  <c r="E79" i="3"/>
  <c r="E70" i="3"/>
  <c r="E74" i="3"/>
  <c r="E84" i="3" l="1"/>
  <c r="E85" i="3" s="1"/>
</calcChain>
</file>

<file path=xl/sharedStrings.xml><?xml version="1.0" encoding="utf-8"?>
<sst xmlns="http://schemas.openxmlformats.org/spreadsheetml/2006/main" count="134" uniqueCount="97">
  <si>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</si>
  <si>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</si>
  <si>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</si>
  <si>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</si>
  <si>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</si>
  <si>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</si>
  <si>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</si>
  <si>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</si>
  <si>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</si>
  <si>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</si>
  <si>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</si>
  <si>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</si>
  <si>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</si>
  <si>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</si>
  <si>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</si>
  <si>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</si>
  <si>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</si>
  <si>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</si>
  <si>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</si>
  <si>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</si>
  <si>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</si>
  <si>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</si>
  <si>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</si>
  <si>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</si>
  <si>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</si>
  <si>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</si>
  <si>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</si>
  <si>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</si>
  <si>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</si>
  <si>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</si>
  <si>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</si>
  <si>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</si>
  <si>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</si>
  <si>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</si>
  <si>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</si>
  <si>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</si>
  <si>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</si>
  <si>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</si>
  <si>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</si>
  <si>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</si>
  <si>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</si>
  <si>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</si>
  <si>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</si>
  <si>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</si>
  <si>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</si>
  <si>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</si>
  <si>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</si>
  <si>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</si>
  <si>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</si>
  <si>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</si>
  <si>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</si>
  <si>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</si>
  <si>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</si>
  <si>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</si>
  <si>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</si>
  <si>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</si>
  <si>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</si>
  <si>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</si>
  <si>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</si>
  <si>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</si>
  <si>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</si>
  <si>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</si>
  <si>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</si>
  <si>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</si>
  <si>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</si>
  <si>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</si>
  <si>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</si>
  <si>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</si>
  <si>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</si>
  <si>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</si>
  <si>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</si>
  <si>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</si>
  <si>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</si>
  <si>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</si>
  <si>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</si>
  <si>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</si>
  <si>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</si>
  <si>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</si>
  <si>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</si>
  <si>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</si>
  <si>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</si>
  <si>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</si>
  <si>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</si>
  <si>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</si>
  <si>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</si>
  <si>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</si>
  <si>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</si>
  <si>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</si>
  <si>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</si>
  <si>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</si>
  <si>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</si>
  <si>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</si>
  <si>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</si>
  <si>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</si>
  <si>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</si>
  <si>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Market</t>
  </si>
  <si>
    <t>Incomplete: 0/47919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</si>
</sst>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3" fillId="2" borderId="1" xfId="0" applyFont="1" applyFill="1" applyBorder="1"/>
    <xf numFmtId="0" fontId="24" fillId="2" borderId="1" xfId="0" applyFont="1" applyFill="1" applyBorder="1"/>
    <xf numFmtId="164" fontId="24" fillId="2" borderId="1" xfId="1" applyNumberFormat="1" applyFont="1" applyFill="1" applyBorder="1"/>
    <xf numFmtId="0" fontId="24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Sheet1!$D$65:$D$84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Sheet1!$E$65:$E$84</c:f>
              <c:numCache>
                <c:formatCode>General</c:formatCode>
                <c:ptCount val="20"/>
                <c:pt idx="0">
                  <c:v>0</c:v>
                </c:pt>
                <c:pt idx="1">
                  <c:v>2.7E-2</c:v>
                </c:pt>
                <c:pt idx="2">
                  <c:v>3.9E-2</c:v>
                </c:pt>
                <c:pt idx="3">
                  <c:v>6.9000000000000006E-2</c:v>
                </c:pt>
                <c:pt idx="4">
                  <c:v>6.7000000000000004E-2</c:v>
                </c:pt>
                <c:pt idx="5">
                  <c:v>0.218</c:v>
                </c:pt>
                <c:pt idx="6">
                  <c:v>0.109</c:v>
                </c:pt>
                <c:pt idx="7">
                  <c:v>0</c:v>
                </c:pt>
                <c:pt idx="8">
                  <c:v>0</c:v>
                </c:pt>
                <c:pt idx="9">
                  <c:v>0.20300000000000001</c:v>
                </c:pt>
                <c:pt idx="10">
                  <c:v>2.1999999999999999E-2</c:v>
                </c:pt>
                <c:pt idx="11">
                  <c:v>0.13</c:v>
                </c:pt>
                <c:pt idx="12">
                  <c:v>0</c:v>
                </c:pt>
                <c:pt idx="13">
                  <c:v>0</c:v>
                </c:pt>
                <c:pt idx="14">
                  <c:v>5.8999999999999997E-2</c:v>
                </c:pt>
                <c:pt idx="15">
                  <c:v>0</c:v>
                </c:pt>
                <c:pt idx="16">
                  <c:v>3.6999999999999998E-2</c:v>
                </c:pt>
                <c:pt idx="17">
                  <c:v>8.0000000000000002E-3</c:v>
                </c:pt>
                <c:pt idx="18">
                  <c:v>0</c:v>
                </c:pt>
                <c:pt idx="19">
                  <c:v>1.19999999999999E-2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Sheet1!$J$65:$J$67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Sheet1!$K$65:$K$67</c:f>
              <c:numCache>
                <c:formatCode>0%</c:formatCode>
                <c:ptCount val="3"/>
                <c:pt idx="0">
                  <c:v>0.7263061540648883</c:v>
                </c:pt>
                <c:pt idx="1">
                  <c:v>0.22768922239615588</c:v>
                </c:pt>
                <c:pt idx="2">
                  <c:v>4.6004623538955854E-2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8" totalsRowShown="0" headerRowDxfId="13" dataDxfId="11" headerRowBorderDxfId="12" tableBorderDxfId="10" totalsRowBorderDxfId="9">
  <autoFilter ref="A27:I88" xr:uid="{00000000-0009-0000-0100-000001000000}"/>
  <sortState xmlns:xlrd2="http://schemas.microsoft.com/office/spreadsheetml/2017/richdata2" ref="A28:I87">
    <sortCondition ref="A27:A8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6"/>
  <sheetViews>
    <sheetView tabSelected="1" topLeftCell="A43" zoomScale="120" zoomScaleNormal="120" workbookViewId="0">
      <selection activeCell="F49" sqref="F49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7" customWidth="1"/>
    <col min="11" max="11" width="13.42578125" style="90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45408</v>
      </c>
      <c r="E1" s="14"/>
      <c r="F1" s="14"/>
      <c r="G1" s="43"/>
      <c r="H1" s="14"/>
      <c r="J1" s="64"/>
      <c r="K1" s="78"/>
    </row>
    <row r="2" spans="1:12" s="13" customFormat="1" x14ac:dyDescent="0.25">
      <c r="A2" s="107" t="s">
        <v>10</v>
      </c>
      <c r="B2" s="107"/>
      <c r="C2" s="15">
        <f>C25/C24</f>
        <v>5.430989432072173</v>
      </c>
      <c r="D2"/>
      <c r="E2" s="23"/>
      <c r="F2" s="17"/>
      <c r="G2" s="17"/>
      <c r="H2" s="16"/>
      <c r="J2" s="64"/>
      <c r="K2" s="78"/>
    </row>
    <row r="3" spans="1:12" s="13" customFormat="1" x14ac:dyDescent="0.25">
      <c r="A3" s="109" t="s">
        <v>76</v>
      </c>
      <c r="B3" s="110"/>
      <c r="C3" s="15">
        <f>SUM(0)/C24</f>
        <v>0</v>
      </c>
      <c r="D3"/>
      <c r="E3" s="23"/>
      <c r="F3" s="17"/>
      <c r="G3" s="17"/>
      <c r="H3" s="16"/>
      <c r="J3" s="64"/>
      <c r="K3" s="78"/>
    </row>
    <row r="4" spans="1:12" s="13" customFormat="1" x14ac:dyDescent="0.25">
      <c r="A4" s="56" t="s">
        <v>52</v>
      </c>
      <c r="B4" s="57"/>
      <c r="C4" s="15">
        <f>SUM(H28:H28)/C24</f>
        <v>0.15005384756981563</v>
      </c>
      <c r="D4"/>
      <c r="E4" s="23"/>
      <c r="F4" s="17"/>
      <c r="G4" s="17"/>
      <c r="H4" s="16"/>
      <c r="J4" s="64"/>
      <c r="K4" s="78"/>
    </row>
    <row r="5" spans="1:12" s="13" customFormat="1" x14ac:dyDescent="0.25">
      <c r="A5" s="56" t="s">
        <v>86</v>
      </c>
      <c r="B5" s="57"/>
      <c r="C5" s="15">
        <f>SUM(H30:H30)/C24</f>
        <v>0.37921779614912277</v>
      </c>
      <c r="D5"/>
      <c r="E5" s="23"/>
      <c r="F5" s="17"/>
      <c r="G5" s="17"/>
      <c r="H5" s="16"/>
      <c r="J5" s="64"/>
      <c r="K5" s="78"/>
    </row>
    <row r="6" spans="1:12" s="13" customFormat="1" x14ac:dyDescent="0.25">
      <c r="A6" s="56" t="s">
        <v>87</v>
      </c>
      <c r="B6" s="57"/>
      <c r="C6" s="15">
        <f>SUM(H31:H31)/C24</f>
        <v>0.36637090459245897</v>
      </c>
      <c r="D6"/>
      <c r="E6" s="23"/>
      <c r="F6" s="17"/>
      <c r="G6" s="17"/>
      <c r="H6" s="16"/>
      <c r="J6" s="64"/>
      <c r="K6" s="78"/>
    </row>
    <row r="7" spans="1:12" s="13" customFormat="1" x14ac:dyDescent="0.25">
      <c r="A7" s="56" t="s">
        <v>46</v>
      </c>
      <c r="B7" s="57"/>
      <c r="C7" s="15">
        <f>SUM(H32:H33)/C24</f>
        <v>1.1986675054899036</v>
      </c>
      <c r="D7"/>
      <c r="E7" s="23"/>
      <c r="F7" s="17"/>
      <c r="G7" s="17"/>
      <c r="H7" s="16"/>
      <c r="J7" s="64"/>
      <c r="K7" s="78"/>
    </row>
    <row r="8" spans="1:12" s="13" customFormat="1" x14ac:dyDescent="0.25">
      <c r="A8" s="109" t="s">
        <v>80</v>
      </c>
      <c r="B8" s="110"/>
      <c r="C8" s="15">
        <f>SUM(H34:H35)/C24</f>
        <v>0.59856591123480962</v>
      </c>
      <c r="D8"/>
      <c r="E8" s="23"/>
      <c r="F8" s="17"/>
      <c r="G8" s="17"/>
      <c r="H8" s="16"/>
      <c r="J8" s="64"/>
      <c r="K8" s="78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4"/>
      <c r="K9" s="78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4"/>
      <c r="K10" s="78"/>
      <c r="L10" s="63"/>
    </row>
    <row r="11" spans="1:12" s="13" customFormat="1" x14ac:dyDescent="0.25">
      <c r="A11" s="109" t="s">
        <v>39</v>
      </c>
      <c r="B11" s="110"/>
      <c r="C11" s="15">
        <f>SUM(H36:H49)/C24</f>
        <v>1.1146721397112835</v>
      </c>
      <c r="D11"/>
      <c r="E11" s="23"/>
      <c r="F11" s="17"/>
      <c r="G11" s="17"/>
      <c r="H11" s="16"/>
      <c r="J11" s="64"/>
      <c r="K11" s="78"/>
      <c r="L11" s="36"/>
    </row>
    <row r="12" spans="1:12" s="13" customFormat="1" x14ac:dyDescent="0.25">
      <c r="A12" s="109" t="s">
        <v>60</v>
      </c>
      <c r="B12" s="110"/>
      <c r="C12" s="15">
        <f>SUM(H50:H50)/C24</f>
        <v>0.12190562091896971</v>
      </c>
      <c r="D12"/>
      <c r="E12" s="23"/>
      <c r="F12" s="17"/>
      <c r="G12" s="17"/>
      <c r="H12" s="16"/>
      <c r="J12" s="64"/>
      <c r="K12" s="78"/>
    </row>
    <row r="13" spans="1:12" s="13" customFormat="1" x14ac:dyDescent="0.25">
      <c r="A13" s="109" t="s">
        <v>68</v>
      </c>
      <c r="B13" s="110"/>
      <c r="C13" s="15">
        <f>SUM(H51:H51)/C24</f>
        <v>0.71369741048451474</v>
      </c>
      <c r="D13"/>
      <c r="E13" s="23"/>
      <c r="F13" s="17"/>
      <c r="G13" s="17"/>
      <c r="H13" s="16"/>
      <c r="J13" s="64"/>
      <c r="K13" s="78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4"/>
      <c r="K14" s="78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4"/>
      <c r="K15" s="78"/>
    </row>
    <row r="16" spans="1:12" s="13" customFormat="1" x14ac:dyDescent="0.25">
      <c r="A16" s="109" t="s">
        <v>26</v>
      </c>
      <c r="B16" s="110"/>
      <c r="C16" s="15">
        <f>SUM(H52:H53)/C24</f>
        <v>4.4970871678642547E-2</v>
      </c>
      <c r="D16"/>
      <c r="E16" s="23"/>
      <c r="F16" s="17"/>
      <c r="G16" s="17"/>
      <c r="H16" s="16"/>
      <c r="J16" s="64"/>
      <c r="K16" s="78"/>
    </row>
    <row r="17" spans="1:17" s="13" customFormat="1" x14ac:dyDescent="0.25">
      <c r="A17" s="109" t="s">
        <v>25</v>
      </c>
      <c r="B17" s="110"/>
      <c r="C17" s="15">
        <f>SUM(H54:H59)/C24</f>
        <v>0.3217776441398254</v>
      </c>
      <c r="D17"/>
      <c r="E17" s="23"/>
      <c r="F17" s="17"/>
      <c r="G17" s="17"/>
      <c r="H17" s="16"/>
      <c r="J17" s="64"/>
      <c r="K17" s="78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4"/>
      <c r="K18" s="78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4"/>
      <c r="K19" s="78"/>
    </row>
    <row r="20" spans="1:17" s="13" customFormat="1" x14ac:dyDescent="0.25">
      <c r="A20" s="109" t="s">
        <v>38</v>
      </c>
      <c r="B20" s="110"/>
      <c r="C20" s="15">
        <f>SUM(H60:H61)/C24</f>
        <v>0.20487975258788543</v>
      </c>
      <c r="D20"/>
      <c r="E20" s="23"/>
      <c r="F20" s="17"/>
      <c r="G20" s="17"/>
      <c r="H20" s="16"/>
      <c r="J20" s="64"/>
      <c r="K20" s="78"/>
    </row>
    <row r="21" spans="1:17" s="13" customFormat="1" ht="12.75" x14ac:dyDescent="0.25">
      <c r="A21" s="107" t="s">
        <v>8</v>
      </c>
      <c r="B21" s="107"/>
      <c r="C21" s="18">
        <v>43830529.549999997</v>
      </c>
      <c r="D21" s="24"/>
      <c r="E21" s="17"/>
      <c r="F21" s="17"/>
      <c r="G21" s="17"/>
      <c r="H21" s="16"/>
      <c r="J21" s="64"/>
      <c r="K21" s="78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4"/>
      <c r="K22" s="78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4"/>
      <c r="K23" s="78"/>
    </row>
    <row r="24" spans="1:17" s="13" customFormat="1" ht="12.75" x14ac:dyDescent="0.25">
      <c r="A24" s="107" t="s">
        <v>9</v>
      </c>
      <c r="B24" s="107"/>
      <c r="C24" s="18">
        <f>C21+C22-C23</f>
        <v>43830529.549999997</v>
      </c>
      <c r="D24" s="21"/>
      <c r="E24" s="17"/>
      <c r="F24" s="17"/>
      <c r="G24" s="17"/>
      <c r="H24" s="16"/>
      <c r="J24" s="64"/>
      <c r="K24" s="78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238043142.78817707</v>
      </c>
      <c r="D25" s="21" t="s">
        <v>22</v>
      </c>
      <c r="E25" s="17"/>
      <c r="F25" s="17"/>
      <c r="G25" s="17"/>
      <c r="H25" s="16"/>
      <c r="J25" s="64"/>
      <c r="K25" s="78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5"/>
      <c r="K26" s="78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1" t="s">
        <v>63</v>
      </c>
      <c r="K27" s="91" t="s">
        <v>64</v>
      </c>
    </row>
    <row r="28" spans="1:17" x14ac:dyDescent="0.25">
      <c r="A28" s="44" t="s">
        <v>66</v>
      </c>
      <c r="B28" s="34" t="s">
        <v>14</v>
      </c>
      <c r="C28" s="92">
        <v>139.91999999999999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($)]]/(IF(G85&gt;0, G64,E64)*C24)*100,3)</f>
        <v>2.734</v>
      </c>
      <c r="H28" s="39">
        <f>Table132[[#This Row],[New position]]*Table132[[#This Row],[Last_Price]]</f>
        <v>6576939.5999999996</v>
      </c>
      <c r="I28" s="96"/>
      <c r="J28" s="93"/>
      <c r="K28" s="93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2">
        <v>96.7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($)]]/(IF(G85&gt;0, G64,E64)*C24)*100,3)</f>
        <v>3.9390000000000001</v>
      </c>
      <c r="H29" s="39">
        <f>Table132[[#This Row],[New position]]*Table132[[#This Row],[Last_Price]]</f>
        <v>9476600</v>
      </c>
      <c r="I29" s="96"/>
      <c r="J29" s="93"/>
      <c r="K29" s="93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2">
        <v>40.86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($)]]/(IF(G85&gt;0, G64,E64)*C24)*100,3)</f>
        <v>6.9089999999999998</v>
      </c>
      <c r="H30" s="39">
        <f>Table132[[#This Row],[New position]]*Table132[[#This Row],[Last_Price]]</f>
        <v>16621316.82</v>
      </c>
      <c r="I30" s="104"/>
      <c r="J30" s="93"/>
      <c r="K30" s="93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2">
        <v>198.77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($)]]/(IF(G85&gt;0, G64,E64)*C24)*100,3)</f>
        <v>6.6749999999999998</v>
      </c>
      <c r="H31" s="39">
        <f>Table132[[#This Row],[New position]]*Table132[[#This Row],[Last_Price]]</f>
        <v>16058230.760000002</v>
      </c>
      <c r="I31" s="104"/>
      <c r="J31" s="93"/>
      <c r="K31" s="93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2">
        <v>214.28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($)]]/(IF(G85&gt;0, G64,E64)*C24)*100,3)</f>
        <v>18.568999999999999</v>
      </c>
      <c r="H32" s="39">
        <f>Table132[[#This Row],[New position]]*Table132[[#This Row],[Last_Price]]</f>
        <v>44673951.520000003</v>
      </c>
      <c r="I32" s="27"/>
      <c r="J32" s="93"/>
      <c r="K32" s="93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2">
        <v>842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($)]]/(IF(G85&gt;0, G64,E64)*C24)*100,3)</f>
        <v>3.2690000000000001</v>
      </c>
      <c r="H33" s="39">
        <f>Table132[[#This Row],[New position]]*Table132[[#This Row],[Last_Price]]</f>
        <v>7864280</v>
      </c>
      <c r="I33" s="103"/>
      <c r="J33" s="93"/>
      <c r="K33" s="93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2">
        <v>55.39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($)]]/(IF(G85&gt;0, G64,E64)*C24)*100,3)</f>
        <v>6.15</v>
      </c>
      <c r="H34" s="39">
        <f>Table132[[#This Row],[New position]]*Table132[[#This Row],[Last_Price]]</f>
        <v>14796773.82</v>
      </c>
      <c r="I34" s="103"/>
      <c r="J34" s="93"/>
      <c r="K34" s="93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2">
        <v>196.46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($)]]/(IF(G85&gt;0, G64,E64)*C24)*100,3)</f>
        <v>4.7549999999999999</v>
      </c>
      <c r="H35" s="39">
        <f>Table132[[#This Row],[New position]]*Table132[[#This Row],[Last_Price]]</f>
        <v>11438687.040000001</v>
      </c>
      <c r="I35" s="103"/>
      <c r="J35" s="93"/>
      <c r="K35" s="93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238.835195530726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($)]]/(IF(G85&gt;0, G64,E64)*C24)*100,3)</f>
        <v>8.8999999999999996E-2</v>
      </c>
      <c r="H36" s="39">
        <f>Table132[[#This Row],[New position]]*Table132[[#This Row],[Last_Price]]</f>
        <v>214951.67597765339</v>
      </c>
      <c r="I36" s="52"/>
      <c r="J36" s="93"/>
      <c r="K36" s="94"/>
      <c r="L36"/>
      <c r="M36"/>
      <c r="N36"/>
      <c r="O36"/>
      <c r="P36"/>
      <c r="Q36"/>
    </row>
    <row r="37" spans="1:17" x14ac:dyDescent="0.25">
      <c r="A37" s="34">
        <v>700</v>
      </c>
      <c r="B37" s="34" t="s">
        <v>14</v>
      </c>
      <c r="C37" s="46">
        <v>44.578005115089503</v>
      </c>
      <c r="D37" s="34">
        <v>15300</v>
      </c>
      <c r="E37" s="34">
        <v>15300</v>
      </c>
      <c r="F37" s="33">
        <f>Table132[[#This Row],[New position]]-Table132[[#This Row],[Old position]]</f>
        <v>0</v>
      </c>
      <c r="G37" s="34">
        <f>ROUND(Table132[[#This Row],[Target allocation ($)]]/(IF(G85&gt;0, G64,E64)*C24)*100,3)</f>
        <v>0.28299999999999997</v>
      </c>
      <c r="H37" s="39">
        <f>Table132[[#This Row],[New position]]*Table132[[#This Row],[Last_Price]]</f>
        <v>682043.47826086939</v>
      </c>
      <c r="I37" s="52"/>
      <c r="J37" s="93"/>
      <c r="K37" s="93"/>
      <c r="L37"/>
      <c r="M37"/>
      <c r="N37"/>
      <c r="O37"/>
      <c r="P37"/>
      <c r="Q37"/>
    </row>
    <row r="38" spans="1:17" x14ac:dyDescent="0.25">
      <c r="A38" s="34">
        <v>9988</v>
      </c>
      <c r="B38" s="34" t="s">
        <v>14</v>
      </c>
      <c r="C38" s="46">
        <v>9.6419437340153493</v>
      </c>
      <c r="D38" s="34">
        <v>22000</v>
      </c>
      <c r="E38" s="34">
        <v>22000</v>
      </c>
      <c r="F38" s="33">
        <f>Table132[[#This Row],[New position]]-Table132[[#This Row],[Old position]]</f>
        <v>0</v>
      </c>
      <c r="G38" s="34">
        <f>ROUND(Table132[[#This Row],[Target allocation ($)]]/(IF(G85&gt;0, G64,E64)*C24)*100,3)</f>
        <v>8.7999999999999995E-2</v>
      </c>
      <c r="H38" s="39">
        <f>Table132[[#This Row],[New position]]*Table132[[#This Row],[Last_Price]]</f>
        <v>212122.76214833767</v>
      </c>
      <c r="I38" s="27"/>
      <c r="J38" s="93"/>
      <c r="K38" s="93"/>
      <c r="L38"/>
      <c r="M38"/>
      <c r="N38"/>
      <c r="O38"/>
      <c r="P38"/>
      <c r="Q38"/>
    </row>
    <row r="39" spans="1:17" x14ac:dyDescent="0.25">
      <c r="A39" s="44">
        <v>9888</v>
      </c>
      <c r="B39" s="34" t="s">
        <v>14</v>
      </c>
      <c r="C39" s="92">
        <v>12.902813299232699</v>
      </c>
      <c r="D39" s="34">
        <v>15600</v>
      </c>
      <c r="E39" s="34">
        <v>15600</v>
      </c>
      <c r="F39" s="33">
        <f>Table132[[#This Row],[New position]]-Table132[[#This Row],[Old position]]</f>
        <v>0</v>
      </c>
      <c r="G39" s="34">
        <f>ROUND(Table132[[#This Row],[Target allocation ($)]]/(IF(G85&gt;0, G64,E64)*C24)*100,3)</f>
        <v>8.4000000000000005E-2</v>
      </c>
      <c r="H39" s="39">
        <f>Table132[[#This Row],[New position]]*Table132[[#This Row],[Last_Price]]</f>
        <v>201283.88746803009</v>
      </c>
      <c r="I39" s="27"/>
      <c r="J39" s="93"/>
      <c r="K39" s="93"/>
      <c r="L39"/>
      <c r="M39"/>
      <c r="N39"/>
      <c r="O39"/>
      <c r="P39"/>
      <c r="Q39"/>
    </row>
    <row r="40" spans="1:17" x14ac:dyDescent="0.25">
      <c r="A40" s="44">
        <v>857</v>
      </c>
      <c r="B40" s="44" t="s">
        <v>14</v>
      </c>
      <c r="C40" s="92">
        <v>0.96547314578005095</v>
      </c>
      <c r="D40" s="34">
        <v>2684000</v>
      </c>
      <c r="E40" s="34">
        <v>2684000</v>
      </c>
      <c r="F40" s="33">
        <f>Table132[[#This Row],[New position]]-Table132[[#This Row],[Old position]]</f>
        <v>0</v>
      </c>
      <c r="G40" s="34">
        <f>ROUND(Table132[[#This Row],[Target allocation ($)]]/(IF(G85&gt;0, G64,E64)*C24)*100,3)</f>
        <v>1.077</v>
      </c>
      <c r="H40" s="39">
        <f>Table132[[#This Row],[New position]]*Table132[[#This Row],[Last_Price]]</f>
        <v>2591329.9232736565</v>
      </c>
      <c r="I40" s="59"/>
      <c r="J40" s="93"/>
      <c r="K40" s="94"/>
      <c r="L40"/>
      <c r="M40"/>
      <c r="N40"/>
      <c r="O40"/>
      <c r="P40"/>
      <c r="Q40"/>
    </row>
    <row r="41" spans="1:17" x14ac:dyDescent="0.25">
      <c r="A41" s="34">
        <v>883</v>
      </c>
      <c r="B41" s="34" t="s">
        <v>14</v>
      </c>
      <c r="C41" s="92">
        <v>2.51918158567775</v>
      </c>
      <c r="D41" s="34">
        <v>2562000</v>
      </c>
      <c r="E41" s="34">
        <v>2562000</v>
      </c>
      <c r="F41" s="33">
        <f>Table132[[#This Row],[New position]]-Table132[[#This Row],[Old position]]</f>
        <v>0</v>
      </c>
      <c r="G41" s="34">
        <f>ROUND(Table132[[#This Row],[Target allocation ($)]]/(IF(G85&gt;0, G64,E64)*C24)*100,3)</f>
        <v>2.6829999999999998</v>
      </c>
      <c r="H41" s="39">
        <f>Table132[[#This Row],[New position]]*Table132[[#This Row],[Last_Price]]</f>
        <v>6454143.2225063955</v>
      </c>
      <c r="I41" s="59"/>
      <c r="J41" s="93"/>
      <c r="K41" s="93"/>
      <c r="L41"/>
      <c r="N41"/>
      <c r="O41"/>
      <c r="P41"/>
      <c r="Q41"/>
    </row>
    <row r="42" spans="1:17" x14ac:dyDescent="0.25">
      <c r="A42" s="34">
        <v>2828</v>
      </c>
      <c r="B42" s="34" t="s">
        <v>14</v>
      </c>
      <c r="C42" s="92">
        <v>8.1355498721227608</v>
      </c>
      <c r="D42" s="34">
        <v>523000</v>
      </c>
      <c r="E42" s="34">
        <v>523000</v>
      </c>
      <c r="F42" s="33">
        <f>Table132[[#This Row],[New position]]-Table132[[#This Row],[Old position]]</f>
        <v>0</v>
      </c>
      <c r="G42" s="34">
        <f>ROUND(Table132[[#This Row],[Target allocation ($)]]/(IF(G85&gt;0, G64,E64)*C24)*100,3)</f>
        <v>1.7689999999999999</v>
      </c>
      <c r="H42" s="39">
        <f>Table132[[#This Row],[New position]]*Table132[[#This Row],[Last_Price]]</f>
        <v>4254892.5831202036</v>
      </c>
      <c r="I42" s="59"/>
      <c r="J42" s="93"/>
      <c r="K42" s="93"/>
      <c r="L42"/>
      <c r="N42"/>
      <c r="O42"/>
      <c r="P42"/>
      <c r="Q42"/>
    </row>
    <row r="43" spans="1:17" x14ac:dyDescent="0.25">
      <c r="A43" s="34">
        <v>2823</v>
      </c>
      <c r="B43" s="34" t="s">
        <v>14</v>
      </c>
      <c r="C43" s="92">
        <v>1.6304347826087</v>
      </c>
      <c r="D43" s="34">
        <v>169900</v>
      </c>
      <c r="E43" s="34">
        <v>169900</v>
      </c>
      <c r="F43" s="33">
        <f>Table132[[#This Row],[New position]]-Table132[[#This Row],[Old position]]</f>
        <v>0</v>
      </c>
      <c r="G43" s="34">
        <f>ROUND(Table132[[#This Row],[Target allocation ($)]]/(IF(G85&gt;0, G64,E64)*C24)*100,3)</f>
        <v>0.115</v>
      </c>
      <c r="H43" s="39">
        <f>Table132[[#This Row],[New position]]*Table132[[#This Row],[Last_Price]]</f>
        <v>277010.8695652181</v>
      </c>
      <c r="I43" s="59"/>
      <c r="J43" s="93"/>
      <c r="K43" s="93"/>
      <c r="L43"/>
      <c r="N43"/>
      <c r="O43"/>
      <c r="P43"/>
      <c r="Q43"/>
    </row>
    <row r="44" spans="1:17" x14ac:dyDescent="0.25">
      <c r="A44" s="34">
        <v>2020</v>
      </c>
      <c r="B44" s="34" t="s">
        <v>14</v>
      </c>
      <c r="C44" s="92">
        <v>11.5153452685422</v>
      </c>
      <c r="D44" s="34">
        <v>88000</v>
      </c>
      <c r="E44" s="34">
        <v>88000</v>
      </c>
      <c r="F44" s="33">
        <f>Table132[[#This Row],[New position]]-Table132[[#This Row],[Old position]]</f>
        <v>0</v>
      </c>
      <c r="G44" s="34">
        <f>ROUND(Table132[[#This Row],[Target allocation ($)]]/(IF(G85&gt;0, G64,E64)*C24)*100,3)</f>
        <v>0.42099999999999999</v>
      </c>
      <c r="H44" s="39">
        <f>Table132[[#This Row],[New position]]*Table132[[#This Row],[Last_Price]]</f>
        <v>1013350.3836317136</v>
      </c>
      <c r="I44" s="59"/>
      <c r="J44" s="93"/>
      <c r="K44" s="93"/>
      <c r="L44"/>
      <c r="N44"/>
      <c r="O44"/>
      <c r="P44"/>
      <c r="Q44"/>
    </row>
    <row r="45" spans="1:17" x14ac:dyDescent="0.25">
      <c r="A45" s="34">
        <v>1288</v>
      </c>
      <c r="B45" s="34" t="s">
        <v>14</v>
      </c>
      <c r="C45" s="92">
        <v>0.44884910485933499</v>
      </c>
      <c r="D45" s="34">
        <v>2325000</v>
      </c>
      <c r="E45" s="34">
        <v>2325000</v>
      </c>
      <c r="F45" s="33">
        <f>Table132[[#This Row],[New position]]-Table132[[#This Row],[Old position]]</f>
        <v>0</v>
      </c>
      <c r="G45" s="34">
        <f>ROUND(Table132[[#This Row],[Target allocation ($)]]/(IF(G85&gt;0, G64,E64)*C24)*100,3)</f>
        <v>0.434</v>
      </c>
      <c r="H45" s="39">
        <f>Table132[[#This Row],[New position]]*Table132[[#This Row],[Last_Price]]</f>
        <v>1043574.1687979539</v>
      </c>
      <c r="I45" s="59"/>
      <c r="J45" s="93"/>
      <c r="K45" s="93"/>
      <c r="L45"/>
      <c r="N45"/>
      <c r="O45"/>
      <c r="P45"/>
      <c r="Q45"/>
    </row>
    <row r="46" spans="1:17" x14ac:dyDescent="0.25">
      <c r="A46" s="34">
        <v>2899</v>
      </c>
      <c r="B46" s="34" t="s">
        <v>14</v>
      </c>
      <c r="C46" s="92">
        <v>2.2531969309462898</v>
      </c>
      <c r="D46" s="34">
        <v>930000</v>
      </c>
      <c r="E46" s="34">
        <v>1022000</v>
      </c>
      <c r="F46" s="33">
        <f>Table132[[#This Row],[New position]]-Table132[[#This Row],[Old position]]</f>
        <v>92000</v>
      </c>
      <c r="G46" s="34">
        <f>ROUND(Table132[[#This Row],[Target allocation ($)]]/(IF(G85&gt;0, G64,E64)*C24)*100,3)</f>
        <v>0.95699999999999996</v>
      </c>
      <c r="H46" s="39">
        <f>Table132[[#This Row],[New position]]*Table132[[#This Row],[Last_Price]]</f>
        <v>2302767.2634271081</v>
      </c>
      <c r="I46" s="27"/>
      <c r="J46" s="93" t="s">
        <v>95</v>
      </c>
      <c r="K46" s="93">
        <v>2.2400000000000002</v>
      </c>
      <c r="L46"/>
      <c r="N46"/>
      <c r="O46"/>
      <c r="P46"/>
      <c r="Q46"/>
    </row>
    <row r="47" spans="1:17" x14ac:dyDescent="0.25">
      <c r="A47" s="34" t="s">
        <v>62</v>
      </c>
      <c r="B47" s="34" t="s">
        <v>14</v>
      </c>
      <c r="C47" s="92">
        <v>45.06</v>
      </c>
      <c r="D47" s="34">
        <v>191673</v>
      </c>
      <c r="E47" s="34">
        <v>143754</v>
      </c>
      <c r="F47" s="33">
        <f>Table132[[#This Row],[New position]]-Table132[[#This Row],[Old position]]</f>
        <v>-47919</v>
      </c>
      <c r="G47" s="34">
        <f>ROUND(Table132[[#This Row],[Target allocation ($)]]/(IF(G85&gt;0, G64,E64)*C24)*100,3)</f>
        <v>2.6920000000000002</v>
      </c>
      <c r="H47" s="39">
        <f>Table132[[#This Row],[New position]]*Table132[[#This Row],[Last_Price]]</f>
        <v>6477555.2400000002</v>
      </c>
      <c r="I47" s="27" t="s">
        <v>96</v>
      </c>
      <c r="J47" s="93" t="s">
        <v>95</v>
      </c>
      <c r="K47" s="95">
        <v>0</v>
      </c>
      <c r="L47"/>
      <c r="M47"/>
      <c r="N47"/>
      <c r="O47"/>
      <c r="P47"/>
      <c r="Q47"/>
    </row>
    <row r="48" spans="1:17" x14ac:dyDescent="0.25">
      <c r="A48" s="34" t="s">
        <v>91</v>
      </c>
      <c r="B48" s="34" t="s">
        <v>14</v>
      </c>
      <c r="C48" s="46">
        <v>37.04</v>
      </c>
      <c r="D48" s="34">
        <v>80000</v>
      </c>
      <c r="E48" s="34">
        <v>80000</v>
      </c>
      <c r="F48" s="33">
        <f>ROUND(Table132[[#This Row],[New position]]-Table132[[#This Row],[Old position]], -2)</f>
        <v>0</v>
      </c>
      <c r="G48" s="34">
        <f>ROUND(Table132[[#This Row],[Target allocation ($)]]/(IF(G85&gt;0, G64,E64)*C24)*100,3)</f>
        <v>1.232</v>
      </c>
      <c r="H48" s="39">
        <f>Table132[[#This Row],[New position]]*Table132[[#This Row],[Last_Price]]</f>
        <v>2963200</v>
      </c>
      <c r="I48" s="59"/>
      <c r="J48" s="93"/>
      <c r="K48" s="94"/>
      <c r="L48"/>
      <c r="M48"/>
      <c r="N48"/>
      <c r="O48"/>
      <c r="P48"/>
      <c r="Q48"/>
    </row>
    <row r="49" spans="1:17" x14ac:dyDescent="0.25">
      <c r="A49" s="34" t="s">
        <v>57</v>
      </c>
      <c r="B49" s="34" t="s">
        <v>14</v>
      </c>
      <c r="C49" s="92">
        <v>62.9</v>
      </c>
      <c r="D49" s="34">
        <v>320643</v>
      </c>
      <c r="E49" s="34">
        <v>320643</v>
      </c>
      <c r="F49" s="33">
        <f>Table132[[#This Row],[New position]]-Table132[[#This Row],[Old position]]</f>
        <v>0</v>
      </c>
      <c r="G49" s="34">
        <f>ROUND(Table132[[#This Row],[Target allocation ($)]]/(IF(G85&gt;0, G64,E64)*C24)*100,3)</f>
        <v>8.3829999999999991</v>
      </c>
      <c r="H49" s="39">
        <f>Table132[[#This Row],[New position]]*Table132[[#This Row],[Last_Price]]</f>
        <v>20168444.699999999</v>
      </c>
      <c r="I49" s="27"/>
      <c r="J49" s="93"/>
      <c r="K49" s="93"/>
      <c r="L49"/>
      <c r="M49"/>
      <c r="N49"/>
      <c r="O49"/>
      <c r="P49"/>
      <c r="Q49"/>
    </row>
    <row r="50" spans="1:17" x14ac:dyDescent="0.25">
      <c r="A50" s="44" t="s">
        <v>58</v>
      </c>
      <c r="B50" s="34" t="s">
        <v>14</v>
      </c>
      <c r="C50" s="46">
        <v>105.63</v>
      </c>
      <c r="D50" s="34">
        <v>50584</v>
      </c>
      <c r="E50" s="34">
        <v>50584</v>
      </c>
      <c r="F50" s="33">
        <f>Table132[[#This Row],[New position]]-Table132[[#This Row],[Old position]]</f>
        <v>0</v>
      </c>
      <c r="G50" s="34">
        <f>ROUND(Table132[[#This Row],[Target allocation ($)]]/(IF(G85&gt;0, G64,E64)*C24)*100,3)</f>
        <v>2.2210000000000001</v>
      </c>
      <c r="H50" s="39">
        <f>Table132[[#This Row],[New position]]*Table132[[#This Row],[Last_Price]]</f>
        <v>5343187.92</v>
      </c>
      <c r="I50" s="49"/>
      <c r="J50" s="93"/>
      <c r="K50" s="93"/>
      <c r="L50"/>
      <c r="M50"/>
      <c r="N50"/>
      <c r="O50"/>
      <c r="P50"/>
      <c r="Q50"/>
    </row>
    <row r="51" spans="1:17" x14ac:dyDescent="0.25">
      <c r="A51" s="44" t="s">
        <v>11</v>
      </c>
      <c r="B51" s="34" t="s">
        <v>14</v>
      </c>
      <c r="C51" s="46">
        <v>429.04</v>
      </c>
      <c r="D51" s="34">
        <v>72911</v>
      </c>
      <c r="E51" s="34">
        <v>72911</v>
      </c>
      <c r="F51" s="33">
        <f>Table132[[#This Row],[New position]]-Table132[[#This Row],[Old position]]</f>
        <v>0</v>
      </c>
      <c r="G51" s="34">
        <f>ROUND(Table132[[#This Row],[Target allocation ($)]]/(IF(G85&gt;0, G64,E64)*C24)*100,3)</f>
        <v>13.002000000000001</v>
      </c>
      <c r="H51" s="39">
        <f>Table132[[#This Row],[New position]]*Table132[[#This Row],[Last_Price]]</f>
        <v>31281735.440000001</v>
      </c>
      <c r="I51" s="97"/>
      <c r="J51" s="93"/>
      <c r="K51" s="93"/>
      <c r="L51"/>
      <c r="M51"/>
      <c r="N51"/>
      <c r="O51"/>
      <c r="P51"/>
      <c r="Q51"/>
    </row>
    <row r="52" spans="1:17" x14ac:dyDescent="0.25">
      <c r="A52" s="44" t="s">
        <v>31</v>
      </c>
      <c r="B52" s="34" t="s">
        <v>14</v>
      </c>
      <c r="C52" s="46">
        <v>50.03</v>
      </c>
      <c r="D52" s="34">
        <v>27428</v>
      </c>
      <c r="E52" s="34">
        <v>27428</v>
      </c>
      <c r="F52" s="33">
        <f>Table132[[#This Row],[New position]]-Table132[[#This Row],[Old position]]</f>
        <v>0</v>
      </c>
      <c r="G52" s="34">
        <f>ROUND(Table132[[#This Row],[Target allocation ($)]]/(IF(G85&gt;0, G64,E64)*C24)*100,3)</f>
        <v>0.56999999999999995</v>
      </c>
      <c r="H52" s="39">
        <f>Table132[[#This Row],[New position]]*Table132[[#This Row],[Last_Price]]</f>
        <v>1372222.84</v>
      </c>
      <c r="I52" s="98"/>
      <c r="J52" s="93"/>
      <c r="K52" s="93"/>
      <c r="L52"/>
      <c r="M52"/>
      <c r="N52"/>
      <c r="O52"/>
      <c r="P52"/>
      <c r="Q52"/>
    </row>
    <row r="53" spans="1:17" x14ac:dyDescent="0.25">
      <c r="A53" s="44" t="s">
        <v>94</v>
      </c>
      <c r="B53" s="34" t="s">
        <v>14</v>
      </c>
      <c r="C53" s="46">
        <v>26.17</v>
      </c>
      <c r="D53" s="34">
        <v>15242</v>
      </c>
      <c r="E53" s="34">
        <v>22884</v>
      </c>
      <c r="F53" s="33">
        <f>Table132[[#This Row],[New position]]-Table132[[#This Row],[Old position]]</f>
        <v>7642</v>
      </c>
      <c r="G53" s="34">
        <f>ROUND(Table132[[#This Row],[Target allocation ($)]]/(IF(G85&gt;0, G64,E64)*C24)*100,3)</f>
        <v>0.249</v>
      </c>
      <c r="H53" s="39">
        <f>Table132[[#This Row],[New position]]*Table132[[#This Row],[Last_Price]]</f>
        <v>598874.28</v>
      </c>
      <c r="I53" s="106"/>
      <c r="J53" s="93" t="s">
        <v>95</v>
      </c>
      <c r="K53" s="93">
        <v>26.1</v>
      </c>
      <c r="L53"/>
      <c r="M53"/>
      <c r="N53"/>
      <c r="O53"/>
      <c r="P53"/>
      <c r="Q53"/>
    </row>
    <row r="54" spans="1:17" x14ac:dyDescent="0.25">
      <c r="A54" s="44" t="s">
        <v>32</v>
      </c>
      <c r="B54" s="44" t="s">
        <v>14</v>
      </c>
      <c r="C54" s="46">
        <v>78.22</v>
      </c>
      <c r="D54" s="34">
        <v>36312</v>
      </c>
      <c r="E54" s="34">
        <v>36312</v>
      </c>
      <c r="F54" s="33">
        <f>Table132[[#This Row],[New position]]-Table132[[#This Row],[Old position]]</f>
        <v>0</v>
      </c>
      <c r="G54" s="34">
        <f>ROUND(Table132[[#This Row],[Target allocation ($)]]/(IF(G85&gt;0, G64,E64)*C24)*100,3)</f>
        <v>1.181</v>
      </c>
      <c r="H54" s="39">
        <f>Table132[[#This Row],[New position]]*Table132[[#This Row],[Last_Price]]</f>
        <v>2840324.64</v>
      </c>
      <c r="I54" s="26"/>
      <c r="J54" s="95"/>
      <c r="K54" s="93"/>
      <c r="L54" s="42"/>
      <c r="M54"/>
      <c r="N54"/>
      <c r="O54"/>
      <c r="P54"/>
      <c r="Q54"/>
    </row>
    <row r="55" spans="1:17" x14ac:dyDescent="0.25">
      <c r="A55" s="44" t="s">
        <v>33</v>
      </c>
      <c r="B55" s="44" t="s">
        <v>14</v>
      </c>
      <c r="C55" s="46">
        <v>70.430000000000007</v>
      </c>
      <c r="D55" s="34">
        <v>38350</v>
      </c>
      <c r="E55" s="34">
        <v>38350</v>
      </c>
      <c r="F55" s="33">
        <f>Table132[[#This Row],[New position]]-Table132[[#This Row],[Old position]]</f>
        <v>0</v>
      </c>
      <c r="G55" s="34">
        <f>ROUND(Table132[[#This Row],[Target allocation ($)]]/(IF(G85&gt;0, G64,E64)*C24)*100,3)</f>
        <v>1.123</v>
      </c>
      <c r="H55" s="39">
        <f>Table132[[#This Row],[New position]]*Table132[[#This Row],[Last_Price]]</f>
        <v>2700990.5000000005</v>
      </c>
      <c r="I55" s="26"/>
      <c r="J55" s="95"/>
      <c r="K55" s="95"/>
      <c r="L55"/>
      <c r="M55"/>
      <c r="N55"/>
      <c r="O55"/>
      <c r="P55"/>
      <c r="Q55"/>
    </row>
    <row r="56" spans="1:17" x14ac:dyDescent="0.25">
      <c r="A56" s="44" t="s">
        <v>42</v>
      </c>
      <c r="B56" s="44" t="s">
        <v>14</v>
      </c>
      <c r="C56" s="46">
        <v>104.73</v>
      </c>
      <c r="D56" s="34">
        <v>26725</v>
      </c>
      <c r="E56" s="34">
        <v>26725</v>
      </c>
      <c r="F56" s="33">
        <f>Table132[[#This Row],[New position]]-Table132[[#This Row],[Old position]]</f>
        <v>0</v>
      </c>
      <c r="G56" s="34">
        <f>ROUND(Table132[[#This Row],[Target allocation ($)]]/(IF(G85&gt;0, G64,E64)*C24)*100,3)</f>
        <v>1.163</v>
      </c>
      <c r="H56" s="39">
        <f>Table132[[#This Row],[New position]]*Table132[[#This Row],[Last_Price]]</f>
        <v>2798909.25</v>
      </c>
      <c r="I56" s="53"/>
      <c r="J56" s="95"/>
      <c r="K56" s="94"/>
      <c r="L56"/>
      <c r="M56"/>
      <c r="N56"/>
      <c r="O56"/>
      <c r="P56"/>
      <c r="Q56"/>
    </row>
    <row r="57" spans="1:17" x14ac:dyDescent="0.25">
      <c r="A57" s="44" t="s">
        <v>47</v>
      </c>
      <c r="B57" s="44" t="s">
        <v>14</v>
      </c>
      <c r="C57" s="46">
        <v>35.93</v>
      </c>
      <c r="D57" s="34">
        <v>78324</v>
      </c>
      <c r="E57" s="34">
        <v>78324</v>
      </c>
      <c r="F57" s="33">
        <f>Table132[[#This Row],[New position]]-Table132[[#This Row],[Old position]]</f>
        <v>0</v>
      </c>
      <c r="G57" s="34">
        <f>ROUND(Table132[[#This Row],[Target allocation ($)]]/(IF(G85&gt;0, G64,E64)*C24)*100,3)</f>
        <v>1.17</v>
      </c>
      <c r="H57" s="39">
        <f>Table132[[#This Row],[New position]]*Table132[[#This Row],[Last_Price]]</f>
        <v>2814181.32</v>
      </c>
      <c r="I57" s="53"/>
      <c r="J57" s="95"/>
      <c r="K57" s="93"/>
      <c r="L57"/>
      <c r="M57"/>
      <c r="N57"/>
      <c r="O57"/>
      <c r="P57"/>
      <c r="Q57"/>
    </row>
    <row r="58" spans="1:17" x14ac:dyDescent="0.25">
      <c r="A58" s="44" t="s">
        <v>92</v>
      </c>
      <c r="B58" s="44" t="s">
        <v>14</v>
      </c>
      <c r="C58" s="46">
        <v>17.03</v>
      </c>
      <c r="D58" s="34">
        <v>115300</v>
      </c>
      <c r="E58" s="34">
        <v>115300</v>
      </c>
      <c r="F58" s="33">
        <f>Table132[[#This Row],[New position]]-Table132[[#This Row],[Old position]]</f>
        <v>0</v>
      </c>
      <c r="G58" s="34">
        <f>ROUND(Table132[[#This Row],[Target allocation ($)]]/(IF(G85&gt;0, G64,E64)*C24)*100,3)</f>
        <v>0.81599999999999995</v>
      </c>
      <c r="H58" s="39">
        <f>Table132[[#This Row],[New position]]*Table132[[#This Row],[Last_Price]]</f>
        <v>1963559.0000000002</v>
      </c>
      <c r="I58" s="53"/>
      <c r="J58" s="93"/>
      <c r="K58" s="93"/>
      <c r="L58"/>
      <c r="M58"/>
      <c r="N58"/>
      <c r="O58"/>
      <c r="P58"/>
      <c r="Q58"/>
    </row>
    <row r="59" spans="1:17" x14ac:dyDescent="0.25">
      <c r="A59" s="44" t="s">
        <v>61</v>
      </c>
      <c r="B59" s="44" t="s">
        <v>14</v>
      </c>
      <c r="C59" s="46">
        <v>46.91</v>
      </c>
      <c r="D59" s="34">
        <v>21013</v>
      </c>
      <c r="E59" s="34">
        <v>21013</v>
      </c>
      <c r="F59" s="33">
        <f>Table132[[#This Row],[New position]]-Table132[[#This Row],[Old position]]</f>
        <v>0</v>
      </c>
      <c r="G59" s="34">
        <f>ROUND(Table132[[#This Row],[Target allocation ($)]]/(IF(G85&gt;0, G64,E64)*C24)*100,3)</f>
        <v>0.41</v>
      </c>
      <c r="H59" s="39">
        <f>Table132[[#This Row],[New position]]*Table132[[#This Row],[Last_Price]]</f>
        <v>985719.83</v>
      </c>
      <c r="I59" s="53"/>
      <c r="J59" s="95"/>
      <c r="K59" s="93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217.3</v>
      </c>
      <c r="D60" s="34">
        <v>38544</v>
      </c>
      <c r="E60" s="34">
        <v>38544</v>
      </c>
      <c r="F60" s="33">
        <f>Table132[[#This Row],[New position]]-Table132[[#This Row],[Old position]]</f>
        <v>0</v>
      </c>
      <c r="G60" s="34">
        <f>ROUND(Table132[[#This Row],[Target allocation ($)]]/(IF(G85&gt;0, G64,E64)*C24)*100,3)</f>
        <v>3.4809999999999999</v>
      </c>
      <c r="H60" s="39">
        <f>Table132[[#This Row],[New position]]*Table132[[#This Row],[Last_Price]]</f>
        <v>8375611.2000000002</v>
      </c>
      <c r="I60" s="61"/>
      <c r="J60" s="95"/>
      <c r="K60" s="95"/>
      <c r="L60"/>
      <c r="M60"/>
      <c r="N60"/>
      <c r="O60"/>
      <c r="P60"/>
      <c r="Q60"/>
    </row>
    <row r="61" spans="1:17" x14ac:dyDescent="0.25">
      <c r="A61" s="44" t="s">
        <v>93</v>
      </c>
      <c r="B61" s="34" t="s">
        <v>14</v>
      </c>
      <c r="C61" s="46">
        <v>23.43</v>
      </c>
      <c r="D61" s="34">
        <v>17259</v>
      </c>
      <c r="E61" s="34">
        <v>25795</v>
      </c>
      <c r="F61" s="33">
        <f>Table132[[#This Row],[New position]]-Table132[[#This Row],[Old position]]</f>
        <v>8536</v>
      </c>
      <c r="G61" s="34">
        <f>ROUND(Table132[[#This Row],[Target allocation ($)]]/(IF(G85&gt;0, G64,E64)*C24)*100,3)</f>
        <v>0.251</v>
      </c>
      <c r="H61" s="39">
        <f>Table132[[#This Row],[New position]]*Table132[[#This Row],[Last_Price]]</f>
        <v>604376.85</v>
      </c>
      <c r="I61" s="106"/>
      <c r="J61" s="93" t="s">
        <v>95</v>
      </c>
      <c r="K61" s="93">
        <v>23.32</v>
      </c>
      <c r="L61"/>
      <c r="M61"/>
      <c r="N61"/>
      <c r="O61"/>
      <c r="P61"/>
      <c r="Q61"/>
    </row>
    <row r="62" spans="1:17" x14ac:dyDescent="0.25">
      <c r="A62" s="44"/>
      <c r="B62" s="44"/>
      <c r="C62" s="46"/>
      <c r="D62" s="34"/>
      <c r="E62" s="34"/>
      <c r="F62" s="31"/>
      <c r="G62" s="34"/>
      <c r="H62" s="46"/>
      <c r="I62" s="48"/>
      <c r="J62" s="67"/>
      <c r="K62" s="81"/>
      <c r="L62"/>
      <c r="M62"/>
      <c r="N62"/>
      <c r="O62"/>
      <c r="P62"/>
      <c r="Q62"/>
    </row>
    <row r="63" spans="1:17" x14ac:dyDescent="0.25">
      <c r="A63" s="44"/>
      <c r="B63" s="44"/>
      <c r="C63" s="45"/>
      <c r="D63" s="35"/>
      <c r="E63" s="54" t="s">
        <v>40</v>
      </c>
      <c r="F63" s="31"/>
      <c r="G63" s="55" t="s">
        <v>41</v>
      </c>
      <c r="H63" s="46"/>
      <c r="I63" s="48"/>
      <c r="J63" s="67"/>
      <c r="K63" s="81"/>
      <c r="L63"/>
      <c r="M63"/>
      <c r="N63"/>
      <c r="O63"/>
      <c r="P63"/>
      <c r="Q63"/>
    </row>
    <row r="64" spans="1:17" ht="30" x14ac:dyDescent="0.25">
      <c r="A64" s="44" t="s">
        <v>30</v>
      </c>
      <c r="B64" s="44"/>
      <c r="C64" s="45"/>
      <c r="D64" s="35"/>
      <c r="E64" s="34">
        <f xml:space="preserve"> IF(G85&gt;0, (C25+ABS(G85*G64))/C21, C25/C21)</f>
        <v>5.488999999999999</v>
      </c>
      <c r="F64" s="31"/>
      <c r="G64" s="34">
        <v>5.4889999999999999</v>
      </c>
      <c r="H64" s="46"/>
      <c r="I64" s="48"/>
      <c r="J64" s="99" t="s">
        <v>69</v>
      </c>
      <c r="K64" s="80" t="s">
        <v>70</v>
      </c>
      <c r="L64"/>
      <c r="M64"/>
      <c r="N64"/>
      <c r="O64"/>
      <c r="P64"/>
      <c r="Q64"/>
    </row>
    <row r="65" spans="1:17" ht="15" customHeight="1" x14ac:dyDescent="0.25">
      <c r="A65" s="34" t="s">
        <v>34</v>
      </c>
      <c r="B65" s="34"/>
      <c r="C65" s="34"/>
      <c r="D65" s="47" t="str">
        <f>Table132[[#This Row],[Symbol]]</f>
        <v>SingleStocks</v>
      </c>
      <c r="E65" s="34">
        <f>ROUND(SUM(0)/100, 3)</f>
        <v>0</v>
      </c>
      <c r="F65" s="47" t="str">
        <f>Table132[[#This Row],[Symbol]]</f>
        <v>SingleStocks</v>
      </c>
      <c r="G65" s="34">
        <f>SUM(0)/(G64*C24)</f>
        <v>0</v>
      </c>
      <c r="H65" s="34"/>
      <c r="I65" s="92"/>
      <c r="J65" s="66" t="s">
        <v>71</v>
      </c>
      <c r="K65" s="102">
        <f>1-SUM(K66:K67)</f>
        <v>0.7263061540648883</v>
      </c>
      <c r="L65"/>
      <c r="M65"/>
      <c r="N65"/>
      <c r="O65"/>
      <c r="P65"/>
      <c r="Q65"/>
    </row>
    <row r="66" spans="1:17" ht="15" customHeight="1" x14ac:dyDescent="0.25">
      <c r="A66" s="44" t="s">
        <v>53</v>
      </c>
      <c r="B66" s="44"/>
      <c r="C66" s="45"/>
      <c r="D66" s="47" t="str">
        <f>Table132[[#This Row],[Symbol]]</f>
        <v>Healthcare</v>
      </c>
      <c r="E66" s="34">
        <f>ROUND(SUM(G28:G28)/100, 3)</f>
        <v>2.7E-2</v>
      </c>
      <c r="F66" s="47" t="str">
        <f>Table132[[#This Row],[Symbol]]</f>
        <v>Healthcare</v>
      </c>
      <c r="G66" s="34">
        <f>SUM(H28:H28)/(G64*C24)</f>
        <v>2.7337192124214909E-2</v>
      </c>
      <c r="H66" s="46"/>
      <c r="I66" s="92"/>
      <c r="J66" s="66" t="s">
        <v>72</v>
      </c>
      <c r="K66" s="100">
        <f>SUM(H36:H50)/C25</f>
        <v>0.22768922239615588</v>
      </c>
      <c r="L66"/>
      <c r="M66"/>
      <c r="N66"/>
      <c r="O66"/>
      <c r="P66"/>
      <c r="Q66"/>
    </row>
    <row r="67" spans="1:17" ht="15" customHeight="1" x14ac:dyDescent="0.25">
      <c r="A67" s="44" t="s">
        <v>90</v>
      </c>
      <c r="B67" s="44"/>
      <c r="C67" s="45"/>
      <c r="D67" s="47" t="str">
        <f>Table132[[#This Row],[Symbol]]</f>
        <v>Energy</v>
      </c>
      <c r="E67" s="34">
        <f>ROUND(SUM(G29:G29)/100, 3)</f>
        <v>3.9E-2</v>
      </c>
      <c r="F67" s="47" t="str">
        <f>Table132[[#This Row],[Symbol]]</f>
        <v>Energy</v>
      </c>
      <c r="G67" s="34">
        <f>SUM(H29:H29)/(G64*C24)</f>
        <v>3.9389693480587087E-2</v>
      </c>
      <c r="H67" s="46"/>
      <c r="I67" s="105"/>
      <c r="J67" s="66" t="s">
        <v>73</v>
      </c>
      <c r="K67" s="101">
        <f>(H60+H61+H52+H53)/C25</f>
        <v>4.6004623538955854E-2</v>
      </c>
      <c r="L67"/>
      <c r="M67"/>
      <c r="N67"/>
      <c r="O67"/>
      <c r="P67"/>
      <c r="Q67"/>
    </row>
    <row r="68" spans="1:17" ht="15" customHeight="1" x14ac:dyDescent="0.25">
      <c r="A68" s="44" t="s">
        <v>84</v>
      </c>
      <c r="B68" s="44"/>
      <c r="C68" s="45"/>
      <c r="D68" s="47" t="str">
        <f>Table132[[#This Row],[Symbol]]</f>
        <v>Financials</v>
      </c>
      <c r="E68" s="34">
        <f>ROUND(SUM(G30:G30)/100, 3)</f>
        <v>6.9000000000000006E-2</v>
      </c>
      <c r="F68" s="47" t="str">
        <f>Table132[[#This Row],[Symbol]]</f>
        <v>Financials</v>
      </c>
      <c r="G68" s="51">
        <f>SUM(H30:H30)/(G64*C24)</f>
        <v>6.9086863936805021E-2</v>
      </c>
      <c r="H68" s="46"/>
      <c r="I68" s="92"/>
      <c r="J68" s="66"/>
      <c r="K68" s="100"/>
      <c r="L68"/>
      <c r="M68"/>
      <c r="N68"/>
      <c r="O68"/>
      <c r="P68"/>
      <c r="Q68"/>
    </row>
    <row r="69" spans="1:17" ht="15" customHeight="1" x14ac:dyDescent="0.25">
      <c r="A69" s="44" t="s">
        <v>85</v>
      </c>
      <c r="B69" s="44"/>
      <c r="C69" s="45"/>
      <c r="D69" s="47" t="str">
        <f>Table132[[#This Row],[Symbol]]</f>
        <v>Techs</v>
      </c>
      <c r="E69" s="51">
        <f>ROUND(SUM(G31:G31)/100, 3)</f>
        <v>6.7000000000000004E-2</v>
      </c>
      <c r="F69" s="47" t="str">
        <f>Table132[[#This Row],[Symbol]]</f>
        <v>Techs</v>
      </c>
      <c r="G69" s="34">
        <f>SUM(H31:H31)/(G64*C24)</f>
        <v>6.6746384513109672E-2</v>
      </c>
      <c r="H69" s="46"/>
      <c r="I69" s="104"/>
      <c r="K69" s="82"/>
      <c r="L69"/>
      <c r="M69"/>
      <c r="N69"/>
      <c r="O69"/>
      <c r="P69"/>
      <c r="Q69"/>
    </row>
    <row r="70" spans="1:17" ht="15" customHeight="1" x14ac:dyDescent="0.25">
      <c r="A70" s="44" t="s">
        <v>49</v>
      </c>
      <c r="B70" s="44"/>
      <c r="C70" s="45"/>
      <c r="D70" s="47" t="str">
        <f>Table132[[#This Row],[Symbol]]</f>
        <v>Semiconductor</v>
      </c>
      <c r="E70" s="34">
        <f>ROUND(SUM(G32:G33)/100, 3)</f>
        <v>0.218</v>
      </c>
      <c r="F70" s="47" t="str">
        <f>Table132[[#This Row],[Symbol]]</f>
        <v>Semiconductor</v>
      </c>
      <c r="G70" s="51">
        <f>SUM(H32:H33)/(G64*C24)</f>
        <v>0.21837629905081138</v>
      </c>
      <c r="H70" s="46"/>
      <c r="I70" s="92"/>
      <c r="J70" s="68"/>
      <c r="K70" s="82"/>
      <c r="L70"/>
      <c r="M70"/>
      <c r="N70"/>
      <c r="O70"/>
      <c r="P70"/>
      <c r="Q70"/>
    </row>
    <row r="71" spans="1:17" ht="15.75" customHeight="1" x14ac:dyDescent="0.25">
      <c r="A71" s="44" t="s">
        <v>88</v>
      </c>
      <c r="B71" s="44"/>
      <c r="C71" s="45"/>
      <c r="D71" s="47" t="str">
        <f>Table132[[#This Row],[Symbol]]</f>
        <v>Russell</v>
      </c>
      <c r="E71" s="51">
        <f>ROUND(SUM(G34:G35)/100, 3)</f>
        <v>0.109</v>
      </c>
      <c r="F71" s="47" t="str">
        <f>Table132[[#This Row],[Symbol]]</f>
        <v>Russell</v>
      </c>
      <c r="G71" s="51">
        <f>SUM(H34:H35)/(G64*C24)</f>
        <v>0.10904826220346323</v>
      </c>
      <c r="H71" s="46"/>
      <c r="I71" s="92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44" t="s">
        <v>44</v>
      </c>
      <c r="B72" s="44"/>
      <c r="C72" s="45"/>
      <c r="D72" s="47" t="str">
        <f>Table132[[#This Row],[Symbol]]</f>
        <v>S&amp;P</v>
      </c>
      <c r="E72" s="34">
        <f>ROUND(0/100, 3)</f>
        <v>0</v>
      </c>
      <c r="F72" s="47" t="str">
        <f>Table132[[#This Row],[Symbol]]</f>
        <v>S&amp;P</v>
      </c>
      <c r="G72" s="34">
        <f>SUM(0)/(G64*C24)</f>
        <v>0</v>
      </c>
      <c r="H72" s="46"/>
      <c r="I72" s="92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45</v>
      </c>
      <c r="B73" s="44"/>
      <c r="C73" s="45"/>
      <c r="D73" s="47" t="str">
        <f>Table132[[#This Row],[Symbol]]</f>
        <v>Dow Jones</v>
      </c>
      <c r="E73" s="34">
        <f>ROUND(0/100, 3)</f>
        <v>0</v>
      </c>
      <c r="F73" s="47" t="str">
        <f>Table132[[#This Row],[Symbol]]</f>
        <v>Dow Jones</v>
      </c>
      <c r="G73" s="51">
        <f>SUM(0)/(G64*C24)</f>
        <v>0</v>
      </c>
      <c r="H73" s="46"/>
      <c r="I73" s="52"/>
      <c r="J73" s="68"/>
      <c r="K73" s="82"/>
      <c r="L73"/>
      <c r="M73"/>
      <c r="N73"/>
      <c r="O73"/>
      <c r="P73"/>
      <c r="Q73"/>
    </row>
    <row r="74" spans="1:17" ht="14.25" customHeight="1" x14ac:dyDescent="0.25">
      <c r="A74" s="44" t="s">
        <v>48</v>
      </c>
      <c r="B74" s="44"/>
      <c r="C74" s="45"/>
      <c r="D74" s="47" t="str">
        <f>Table132[[#This Row],[Symbol]]</f>
        <v>Int Stocks</v>
      </c>
      <c r="E74" s="34">
        <f>ROUND(SUM(G36:G49)/100, 3)</f>
        <v>0.20300000000000001</v>
      </c>
      <c r="F74" s="47" t="str">
        <f>Table132[[#This Row],[Symbol]]</f>
        <v>Int Stocks</v>
      </c>
      <c r="G74" s="34">
        <f>SUM(H36:H49)/(G64*C24)</f>
        <v>0.20307380938445682</v>
      </c>
      <c r="H74" s="46"/>
      <c r="I74" s="46"/>
      <c r="J74" s="70"/>
      <c r="K74" s="84"/>
      <c r="L74"/>
      <c r="M74"/>
      <c r="N74"/>
      <c r="O74"/>
      <c r="P74"/>
      <c r="Q74"/>
    </row>
    <row r="75" spans="1:17" ht="14.25" customHeight="1" x14ac:dyDescent="0.25">
      <c r="A75" s="44" t="s">
        <v>59</v>
      </c>
      <c r="B75" s="44"/>
      <c r="C75" s="45"/>
      <c r="D75" s="47" t="str">
        <f>Table132[[#This Row],[Symbol]]</f>
        <v>JP Stocks</v>
      </c>
      <c r="E75" s="34">
        <f>ROUND(SUM(G50:G50)/100, 3)</f>
        <v>2.1999999999999999E-2</v>
      </c>
      <c r="F75" s="47" t="str">
        <f>Table132[[#This Row],[Symbol]]</f>
        <v>JP Stocks</v>
      </c>
      <c r="G75" s="34">
        <f>SUM(H50:H50)/(G64*C24)</f>
        <v>2.2209076501907399E-2</v>
      </c>
      <c r="H75" s="46"/>
      <c r="I75" s="62"/>
      <c r="J75" s="66"/>
      <c r="K75" s="80"/>
      <c r="L75"/>
      <c r="M75"/>
      <c r="N75"/>
      <c r="O75"/>
      <c r="P75"/>
      <c r="Q75"/>
    </row>
    <row r="76" spans="1:17" ht="15.75" customHeight="1" x14ac:dyDescent="0.25">
      <c r="A76" s="44" t="s">
        <v>67</v>
      </c>
      <c r="B76" s="44"/>
      <c r="C76" s="45"/>
      <c r="D76" s="47" t="str">
        <f>Table132[[#This Row],[Symbol]]</f>
        <v>Nasdaq</v>
      </c>
      <c r="E76" s="51">
        <f>ROUND(SUM(G51)/100, 3)</f>
        <v>0.13</v>
      </c>
      <c r="F76" s="47" t="str">
        <f>Table132[[#This Row],[Symbol]]</f>
        <v>Nasdaq</v>
      </c>
      <c r="G76" s="34">
        <f>SUM(H51)/(G64*C24)</f>
        <v>0.13002321196657218</v>
      </c>
      <c r="H76" s="46"/>
      <c r="I76" s="27"/>
      <c r="J76" s="66"/>
      <c r="K76" s="80"/>
      <c r="L76"/>
      <c r="M76"/>
      <c r="N76"/>
      <c r="O76"/>
      <c r="P76"/>
      <c r="Q76"/>
    </row>
    <row r="77" spans="1:17" ht="15.75" customHeight="1" x14ac:dyDescent="0.25">
      <c r="A77" s="58" t="s">
        <v>50</v>
      </c>
      <c r="B77" s="44"/>
      <c r="C77" s="45"/>
      <c r="D77" s="47" t="str">
        <f>Table132[[#This Row],[Symbol]]</f>
        <v>Regional Bank</v>
      </c>
      <c r="E77" s="51">
        <f>ROUND(SUM(0)/100, 3)</f>
        <v>0</v>
      </c>
      <c r="F77" s="47" t="str">
        <f>Table132[[#This Row],[Symbol]]</f>
        <v>Regional Bank</v>
      </c>
      <c r="G77" s="51">
        <f>SUM(0)/(G64*C24)</f>
        <v>0</v>
      </c>
      <c r="H77" s="46"/>
      <c r="I77" s="27"/>
      <c r="J77" s="69"/>
      <c r="K77" s="83"/>
      <c r="L77"/>
      <c r="M77"/>
      <c r="N77"/>
      <c r="O77"/>
      <c r="P77"/>
      <c r="Q77"/>
    </row>
    <row r="78" spans="1:17" ht="15.75" customHeight="1" x14ac:dyDescent="0.25">
      <c r="A78" s="44" t="s">
        <v>51</v>
      </c>
      <c r="B78" s="44"/>
      <c r="C78" s="45"/>
      <c r="D78" s="47" t="str">
        <f>Table132[[#This Row],[Symbol]]</f>
        <v>Short</v>
      </c>
      <c r="E78" s="34">
        <f>ROUND(SUM(0)/100, 3)</f>
        <v>0</v>
      </c>
      <c r="F78" s="47" t="str">
        <f>Table132[[#This Row],[Symbol]]</f>
        <v>Short</v>
      </c>
      <c r="G78" s="34">
        <f>SUM(0)/(G64*C24)</f>
        <v>0</v>
      </c>
      <c r="H78" s="46"/>
      <c r="I78" s="59"/>
      <c r="J78" s="66"/>
      <c r="K78" s="80"/>
      <c r="L78"/>
      <c r="M78"/>
      <c r="N78"/>
      <c r="O78"/>
      <c r="P78"/>
      <c r="Q78"/>
    </row>
    <row r="79" spans="1:17" ht="14.25" customHeight="1" x14ac:dyDescent="0.25">
      <c r="A79" s="34" t="s">
        <v>27</v>
      </c>
      <c r="B79" s="44"/>
      <c r="C79" s="45"/>
      <c r="D79" s="47" t="str">
        <f>Table132[[#This Row],[Symbol]]</f>
        <v>Bonds</v>
      </c>
      <c r="E79" s="34">
        <f>ROUND((SUM(G54:G59))/100, 3)</f>
        <v>5.8999999999999997E-2</v>
      </c>
      <c r="F79" s="47" t="str">
        <f>Table132[[#This Row],[Symbol]]</f>
        <v>Bonds</v>
      </c>
      <c r="G79" s="34">
        <f>(SUM(H54:H59))/(G64*C24)</f>
        <v>5.8622270748738464E-2</v>
      </c>
      <c r="H79" s="46"/>
      <c r="I79" s="27"/>
      <c r="J79" s="71"/>
      <c r="K79" s="85"/>
      <c r="L79"/>
      <c r="M79"/>
      <c r="N79"/>
      <c r="O79"/>
      <c r="P79"/>
      <c r="Q79"/>
    </row>
    <row r="80" spans="1:17" ht="14.25" customHeight="1" x14ac:dyDescent="0.25">
      <c r="A80" s="44" t="s">
        <v>55</v>
      </c>
      <c r="B80" s="44"/>
      <c r="C80" s="45"/>
      <c r="D80" s="47" t="str">
        <f>Table132[[#This Row],[Symbol]]</f>
        <v>Core</v>
      </c>
      <c r="E80" s="34">
        <f>ROUND((SUM(0))/100, 3)</f>
        <v>0</v>
      </c>
      <c r="F80" s="47" t="str">
        <f>Table132[[#This Row],[Symbol]]</f>
        <v>Core</v>
      </c>
      <c r="G80" s="34">
        <f>(SUM(0))/(G64*C24)</f>
        <v>0</v>
      </c>
      <c r="H80" s="46"/>
      <c r="I80" s="60"/>
      <c r="J80" s="72"/>
      <c r="K80" s="79"/>
      <c r="L80"/>
      <c r="M80"/>
      <c r="N80"/>
      <c r="O80"/>
      <c r="P80"/>
      <c r="Q80"/>
    </row>
    <row r="81" spans="1:17" ht="14.25" customHeight="1" x14ac:dyDescent="0.25">
      <c r="A81" s="44" t="s">
        <v>36</v>
      </c>
      <c r="B81" s="34"/>
      <c r="C81" s="34"/>
      <c r="D81" s="47" t="str">
        <f>Table132[[#This Row],[Symbol]]</f>
        <v>Gold</v>
      </c>
      <c r="E81" s="34">
        <f>ROUND(SUM(G60:G61)/100,3)</f>
        <v>3.6999999999999998E-2</v>
      </c>
      <c r="F81" s="47" t="str">
        <f>Table132[[#This Row],[Symbol]]</f>
        <v>Gold</v>
      </c>
      <c r="G81" s="34">
        <f>SUM(H60:H61)/(G64*C24)</f>
        <v>3.7325515137162583E-2</v>
      </c>
      <c r="H81" s="34"/>
      <c r="I81" s="28"/>
      <c r="J81" s="73"/>
      <c r="K81" s="86"/>
      <c r="L81"/>
      <c r="M81"/>
      <c r="N81"/>
      <c r="O81"/>
      <c r="P81"/>
      <c r="Q81"/>
    </row>
    <row r="82" spans="1:17" ht="15" customHeight="1" x14ac:dyDescent="0.25">
      <c r="A82" s="34" t="s">
        <v>28</v>
      </c>
      <c r="B82" s="34"/>
      <c r="C82" s="34"/>
      <c r="D82" s="47" t="str">
        <f>Table132[[#This Row],[Symbol]]</f>
        <v>Commodities</v>
      </c>
      <c r="E82" s="34">
        <f>ROUND(SUM(G52:G53)/100,3)</f>
        <v>8.0000000000000002E-3</v>
      </c>
      <c r="F82" s="47" t="str">
        <f>Table132[[#This Row],[Symbol]]</f>
        <v>Commodities</v>
      </c>
      <c r="G82" s="51">
        <f>SUM(H52:H53)/(G64*C24)</f>
        <v>8.1929079392680897E-3</v>
      </c>
      <c r="H82" s="34"/>
      <c r="I82" s="29"/>
      <c r="J82" s="74"/>
      <c r="K82" s="87"/>
      <c r="L82"/>
      <c r="M82"/>
      <c r="N82"/>
      <c r="O82"/>
      <c r="P82"/>
      <c r="Q82"/>
    </row>
    <row r="83" spans="1:17" ht="14.25" customHeight="1" x14ac:dyDescent="0.25">
      <c r="A83" s="44" t="s">
        <v>35</v>
      </c>
      <c r="B83" s="44"/>
      <c r="C83" s="45"/>
      <c r="D83" s="47" t="str">
        <f>Table132[[#This Row],[Symbol]]</f>
        <v>Crypto</v>
      </c>
      <c r="E83" s="51">
        <f>ROUND(SUM(0)/100,3)</f>
        <v>0</v>
      </c>
      <c r="F83" s="47" t="str">
        <f>Table132[[#This Row],[Symbol]]</f>
        <v>Crypto</v>
      </c>
      <c r="G83" s="34">
        <f>SUM(0)/(G64*C24)</f>
        <v>0</v>
      </c>
      <c r="H83" s="46"/>
      <c r="I83" s="50"/>
      <c r="J83" s="66"/>
      <c r="K83" s="80"/>
      <c r="L83"/>
      <c r="M83"/>
      <c r="N83"/>
      <c r="O83"/>
      <c r="P83"/>
      <c r="Q83"/>
    </row>
    <row r="84" spans="1:17" ht="14.25" customHeight="1" x14ac:dyDescent="0.25">
      <c r="A84" s="34" t="s">
        <v>23</v>
      </c>
      <c r="B84" s="34"/>
      <c r="C84" s="34"/>
      <c r="D84" s="47" t="str">
        <f>Table132[[#This Row],[Symbol]]</f>
        <v>Cash</v>
      </c>
      <c r="E84" s="34">
        <f>1-SUM(E65:E83)</f>
        <v>1.19999999999999E-2</v>
      </c>
      <c r="F84" s="47" t="str">
        <f>Table132[[#This Row],[Symbol]]</f>
        <v>Cash</v>
      </c>
      <c r="G84" s="51">
        <f>1-SUM(G65:G83)</f>
        <v>1.056851301290318E-2</v>
      </c>
      <c r="H84" s="34"/>
      <c r="I84" s="27"/>
      <c r="J84" s="75"/>
      <c r="K84" s="88"/>
      <c r="L84"/>
      <c r="M84"/>
      <c r="N84"/>
      <c r="O84"/>
      <c r="P84"/>
      <c r="Q84"/>
    </row>
    <row r="85" spans="1:17" x14ac:dyDescent="0.25">
      <c r="A85" s="25" t="s">
        <v>29</v>
      </c>
      <c r="B85" s="25"/>
      <c r="C85" s="32"/>
      <c r="D85" s="31"/>
      <c r="E85" s="39">
        <f>C24*E84</f>
        <v>525966.35459999554</v>
      </c>
      <c r="F85" s="31"/>
      <c r="G85" s="39">
        <f>C24*G84</f>
        <v>463223.52191161236</v>
      </c>
      <c r="H85" s="39"/>
      <c r="I85" s="30"/>
      <c r="J85" s="66"/>
      <c r="K85" s="80"/>
      <c r="L85"/>
      <c r="M85"/>
      <c r="N85"/>
      <c r="O85"/>
      <c r="P85"/>
      <c r="Q85"/>
    </row>
    <row r="86" spans="1:17" x14ac:dyDescent="0.25">
      <c r="A86" s="25"/>
      <c r="B86" s="25"/>
      <c r="C86" s="32"/>
      <c r="D86" s="25"/>
      <c r="E86" s="25"/>
      <c r="F86" s="25"/>
      <c r="G86" s="34"/>
      <c r="H86" s="39"/>
      <c r="I86" s="27"/>
      <c r="J86" s="66"/>
      <c r="K86" s="80"/>
      <c r="L86"/>
      <c r="M86"/>
      <c r="N86"/>
      <c r="O86"/>
      <c r="P86"/>
      <c r="Q86"/>
    </row>
    <row r="87" spans="1:17" x14ac:dyDescent="0.25">
      <c r="A87" s="25"/>
      <c r="B87" s="25"/>
      <c r="C87" s="32"/>
      <c r="D87" s="25"/>
      <c r="E87" s="25"/>
      <c r="F87" s="31"/>
      <c r="G87" s="34"/>
      <c r="H87" s="39"/>
      <c r="I87" s="27"/>
      <c r="J87" s="66"/>
      <c r="K87" s="80"/>
      <c r="L87"/>
      <c r="M87"/>
      <c r="N87"/>
      <c r="O87"/>
      <c r="P87"/>
      <c r="Q87"/>
    </row>
    <row r="88" spans="1:17" x14ac:dyDescent="0.25">
      <c r="A88" s="25"/>
      <c r="B88" s="25"/>
      <c r="C88" s="32"/>
      <c r="D88" s="25"/>
      <c r="E88" s="25"/>
      <c r="F88" s="31"/>
      <c r="G88" s="34"/>
      <c r="H88" s="39"/>
      <c r="I88" s="27"/>
      <c r="J88" s="76"/>
      <c r="K88" s="89"/>
      <c r="L88"/>
      <c r="M88"/>
      <c r="N88"/>
      <c r="O88"/>
      <c r="P88"/>
      <c r="Q88"/>
    </row>
    <row r="89" spans="1:17" x14ac:dyDescent="0.25">
      <c r="A89" s="20"/>
      <c r="B89" s="5" t="s">
        <v>21</v>
      </c>
      <c r="D89" s="1"/>
      <c r="E89" s="5" t="s">
        <v>20</v>
      </c>
      <c r="F89" s="1"/>
      <c r="G89" s="5"/>
      <c r="H89" s="40" t="s">
        <v>2</v>
      </c>
      <c r="I89" s="4"/>
      <c r="L89"/>
      <c r="M89"/>
      <c r="N89"/>
      <c r="O89"/>
      <c r="P89"/>
      <c r="Q89"/>
    </row>
    <row r="90" spans="1:17" x14ac:dyDescent="0.25">
      <c r="B90" s="5" t="s">
        <v>24</v>
      </c>
      <c r="D90" s="1"/>
      <c r="E90" s="5" t="s">
        <v>24</v>
      </c>
      <c r="F90" s="1"/>
      <c r="G90" s="5"/>
      <c r="H90" s="40" t="s">
        <v>3</v>
      </c>
      <c r="L90"/>
      <c r="M90"/>
      <c r="N90"/>
      <c r="O90"/>
      <c r="P90"/>
      <c r="Q90"/>
    </row>
    <row r="91" spans="1:17" x14ac:dyDescent="0.25">
      <c r="B91" s="3"/>
      <c r="C91"/>
      <c r="D91" s="1"/>
      <c r="E91" s="3"/>
      <c r="F91" s="19"/>
      <c r="G91" s="3"/>
      <c r="H91" s="41"/>
      <c r="L91"/>
      <c r="M91"/>
      <c r="N91"/>
      <c r="O91"/>
      <c r="P91"/>
      <c r="Q91"/>
    </row>
    <row r="92" spans="1:17" x14ac:dyDescent="0.25">
      <c r="C92"/>
      <c r="L92"/>
      <c r="M92"/>
      <c r="N92"/>
      <c r="O92"/>
      <c r="P92"/>
      <c r="Q92"/>
    </row>
    <row r="93" spans="1:17" x14ac:dyDescent="0.25">
      <c r="L93"/>
      <c r="M93"/>
      <c r="N93"/>
      <c r="O93"/>
      <c r="P93"/>
      <c r="Q93"/>
    </row>
    <row r="94" spans="1:17" x14ac:dyDescent="0.25">
      <c r="L94"/>
      <c r="M94"/>
      <c r="N94"/>
      <c r="O94"/>
      <c r="P94"/>
      <c r="Q94"/>
    </row>
    <row r="95" spans="1:17" x14ac:dyDescent="0.25"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2024-05-06T06:40:21Z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