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5-2024/"/>
    </mc:Choice>
  </mc:AlternateContent>
  <xr:revisionPtr revIDLastSave="4893" documentId="14_{A48F4B07-3EF3-43E5-91B2-4CA340E6013A}" xr6:coauthVersionLast="47" xr6:coauthVersionMax="47" xr10:uidLastSave="{76D8E880-75B2-4742-A295-FBD1A50A1872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3" l="1"/>
  <c r="H37" i="3" l="1"/>
  <c r="F37" i="3"/>
  <c r="H47" i="3"/>
  <c r="F47" i="3"/>
  <c r="H63" i="3"/>
  <c r="H55" i="3"/>
  <c r="F63" i="3"/>
  <c r="F55" i="3"/>
  <c r="F60" i="3" l="1"/>
  <c r="H60" i="3"/>
  <c r="H50" i="3" l="1"/>
  <c r="H48" i="3" l="1"/>
  <c r="F48" i="3"/>
  <c r="H46" i="3"/>
  <c r="F46" i="3"/>
  <c r="H44" i="3" l="1"/>
  <c r="H45" i="3"/>
  <c r="F43" i="3"/>
  <c r="F44" i="3"/>
  <c r="F45" i="3"/>
  <c r="H43" i="3" l="1"/>
  <c r="F69" i="3"/>
  <c r="D69" i="3"/>
  <c r="F29" i="3" l="1"/>
  <c r="H29" i="3"/>
  <c r="F70" i="3" l="1"/>
  <c r="F71" i="3"/>
  <c r="D70" i="3"/>
  <c r="D71" i="3"/>
  <c r="H30" i="3"/>
  <c r="H31" i="3"/>
  <c r="F30" i="3"/>
  <c r="F31" i="3"/>
  <c r="H33" i="3"/>
  <c r="F33" i="3"/>
  <c r="H34" i="3" l="1"/>
  <c r="H35" i="3"/>
  <c r="F34" i="3"/>
  <c r="F35" i="3"/>
  <c r="F54" i="3"/>
  <c r="H54" i="3"/>
  <c r="E80" i="3" l="1"/>
  <c r="E85" i="3" l="1"/>
  <c r="F53" i="3"/>
  <c r="H53" i="3" l="1"/>
  <c r="E82" i="3"/>
  <c r="E79" i="3"/>
  <c r="H28" i="3"/>
  <c r="F28" i="3"/>
  <c r="E67" i="3"/>
  <c r="H32" i="3"/>
  <c r="F32" i="3"/>
  <c r="F49" i="3" l="1"/>
  <c r="H49" i="3"/>
  <c r="E75" i="3" l="1"/>
  <c r="E74" i="3"/>
  <c r="F77" i="3" l="1"/>
  <c r="D77" i="3"/>
  <c r="F62" i="3" l="1"/>
  <c r="H62" i="3"/>
  <c r="D82" i="3" l="1"/>
  <c r="F82" i="3"/>
  <c r="D68" i="3" l="1"/>
  <c r="D72" i="3"/>
  <c r="D73" i="3"/>
  <c r="D74" i="3"/>
  <c r="D75" i="3"/>
  <c r="D76" i="3"/>
  <c r="D78" i="3"/>
  <c r="D79" i="3"/>
  <c r="D80" i="3"/>
  <c r="D81" i="3"/>
  <c r="D83" i="3"/>
  <c r="D84" i="3"/>
  <c r="D85" i="3"/>
  <c r="D86" i="3"/>
  <c r="F68" i="3"/>
  <c r="H42" i="3"/>
  <c r="F42" i="3"/>
  <c r="F41" i="3" l="1"/>
  <c r="H41" i="3"/>
  <c r="F80" i="3"/>
  <c r="D67" i="3" l="1"/>
  <c r="F76" i="3"/>
  <c r="F74" i="3"/>
  <c r="F73" i="3"/>
  <c r="F72" i="3"/>
  <c r="F67" i="3"/>
  <c r="F79" i="3"/>
  <c r="F75" i="3" l="1"/>
  <c r="F78" i="3"/>
  <c r="F81" i="3"/>
  <c r="F83" i="3"/>
  <c r="F84" i="3"/>
  <c r="F85" i="3"/>
  <c r="F86" i="3"/>
  <c r="H57" i="3" l="1"/>
  <c r="H58" i="3"/>
  <c r="H59" i="3"/>
  <c r="H61" i="3"/>
  <c r="F57" i="3"/>
  <c r="F58" i="3"/>
  <c r="F59" i="3"/>
  <c r="F61" i="3"/>
  <c r="F36" i="3" l="1"/>
  <c r="F38" i="3"/>
  <c r="F39" i="3"/>
  <c r="F52" i="3"/>
  <c r="F56" i="3"/>
  <c r="H56" i="3"/>
  <c r="H36" i="3" l="1"/>
  <c r="H38" i="3"/>
  <c r="H52" i="3" l="1"/>
  <c r="H51" i="3"/>
  <c r="H40" i="3" l="1"/>
  <c r="H39" i="3"/>
  <c r="C25" i="3" l="1" a="1"/>
  <c r="C25" i="3" s="1"/>
  <c r="K68" i="3" s="1"/>
  <c r="K69" i="3" l="1"/>
  <c r="F40" i="3"/>
  <c r="K67" i="3" l="1"/>
  <c r="F51" i="3"/>
  <c r="C24" i="3"/>
  <c r="C11" i="3" s="1"/>
  <c r="G84" i="3" l="1"/>
  <c r="C16" i="3"/>
  <c r="C13" i="3"/>
  <c r="C20" i="3"/>
  <c r="G83" i="3"/>
  <c r="C17" i="3"/>
  <c r="G76" i="3"/>
  <c r="C7" i="3"/>
  <c r="G69" i="3"/>
  <c r="C6" i="3"/>
  <c r="C5" i="3"/>
  <c r="C4" i="3"/>
  <c r="G71" i="3"/>
  <c r="G68" i="3"/>
  <c r="G70" i="3"/>
  <c r="G72" i="3"/>
  <c r="C8" i="3"/>
  <c r="G73" i="3"/>
  <c r="G81" i="3"/>
  <c r="G80" i="3"/>
  <c r="C15" i="3"/>
  <c r="C19" i="3"/>
  <c r="G85" i="3"/>
  <c r="G78" i="3"/>
  <c r="C18" i="3"/>
  <c r="G82" i="3"/>
  <c r="G79" i="3"/>
  <c r="C14" i="3"/>
  <c r="G67" i="3"/>
  <c r="C3" i="3"/>
  <c r="C12" i="3"/>
  <c r="C9" i="3"/>
  <c r="G74" i="3"/>
  <c r="C10" i="3"/>
  <c r="G75" i="3"/>
  <c r="G77" i="3"/>
  <c r="C2" i="3"/>
  <c r="G86" i="3" l="1"/>
  <c r="G87" i="3" s="1"/>
  <c r="E66" i="3" l="1"/>
  <c r="G40" i="3" s="1"/>
  <c r="G63" i="3"/>
  <c r="G46" i="3" l="1"/>
  <c r="G37" i="3"/>
  <c r="G47" i="3"/>
  <c r="G36" i="3"/>
  <c r="G51" i="3"/>
  <c r="G44" i="3"/>
  <c r="G57" i="3"/>
  <c r="G30" i="3"/>
  <c r="E70" i="3" s="1"/>
  <c r="G41" i="3"/>
  <c r="G56" i="3"/>
  <c r="G55" i="3"/>
  <c r="G42" i="3"/>
  <c r="G33" i="3"/>
  <c r="G39" i="3"/>
  <c r="G61" i="3"/>
  <c r="G59" i="3"/>
  <c r="G54" i="3"/>
  <c r="G28" i="3"/>
  <c r="E68" i="3" s="1"/>
  <c r="G43" i="3"/>
  <c r="G35" i="3"/>
  <c r="G38" i="3"/>
  <c r="G31" i="3"/>
  <c r="E71" i="3" s="1"/>
  <c r="G62" i="3"/>
  <c r="E83" i="3" s="1"/>
  <c r="G32" i="3"/>
  <c r="G45" i="3"/>
  <c r="G60" i="3"/>
  <c r="G53" i="3"/>
  <c r="E78" i="3" s="1"/>
  <c r="G48" i="3"/>
  <c r="G58" i="3"/>
  <c r="G49" i="3"/>
  <c r="G52" i="3"/>
  <c r="E77" i="3" s="1"/>
  <c r="G29" i="3"/>
  <c r="E69" i="3" s="1"/>
  <c r="G50" i="3"/>
  <c r="G34" i="3"/>
  <c r="E73" i="3" l="1"/>
  <c r="E84" i="3"/>
  <c r="E81" i="3"/>
  <c r="E72" i="3"/>
  <c r="E76" i="3"/>
  <c r="E86" i="3" l="1"/>
  <c r="E87" i="3" s="1"/>
</calcChain>
</file>

<file path=xl/sharedStrings.xml><?xml version="1.0" encoding="utf-8"?>
<sst xmlns="http://schemas.openxmlformats.org/spreadsheetml/2006/main" count="136" uniqueCount="98">
  <si>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</si>
  <si>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</si>
  <si>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</si>
  <si>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</si>
  <si>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</si>
  <si>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</si>
  <si>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</si>
  <si>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</si>
  <si>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</si>
  <si>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</si>
  <si>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</si>
  <si>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</si>
  <si>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</si>
  <si>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</si>
  <si>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</si>
  <si>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</si>
  <si>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</si>
  <si>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</si>
  <si>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</si>
  <si>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</si>
  <si>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</si>
  <si>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</si>
  <si>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</si>
  <si>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</si>
  <si>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</si>
  <si>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</si>
  <si>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</si>
  <si>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</si>
  <si>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</si>
  <si>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</si>
  <si>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</si>
  <si>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</si>
  <si>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</si>
  <si>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</si>
  <si>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</si>
  <si>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</si>
  <si>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</si>
  <si>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</si>
  <si>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</si>
  <si>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</si>
  <si>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</si>
  <si>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</si>
  <si>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</si>
  <si>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</si>
  <si>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</si>
  <si>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</si>
  <si>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</si>
  <si>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</si>
  <si>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</si>
  <si>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</si>
  <si>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</si>
  <si>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</si>
  <si>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</si>
  <si>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</si>
  <si>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</si>
  <si>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</si>
  <si>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</si>
  <si>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</si>
  <si>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</si>
  <si>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</si>
  <si>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</si>
  <si>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</si>
  <si>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</si>
  <si>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</si>
  <si>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</si>
  <si>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</si>
  <si>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</si>
  <si>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</si>
  <si>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</si>
  <si>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</si>
  <si>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</si>
  <si>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</si>
  <si>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</si>
  <si>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</si>
  <si>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</si>
  <si>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</si>
  <si>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</si>
  <si>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</si>
  <si>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</si>
  <si>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</si>
  <si>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</si>
  <si>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</si>
  <si>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</si>
  <si>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</si>
  <si>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</si>
  <si>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</si>
  <si>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</si>
  <si>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</si>
  <si>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</si>
  <si>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</si>
  <si>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</si>
  <si>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</si>
  <si>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</si>
  <si>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</si>
  <si>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</si>
  <si>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Market</t>
  </si>
  <si>
    <t>000921</t>
  </si>
  <si>
    <t>Incomplete: 0/32064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</si>
</sst>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25" fillId="2" borderId="1" xfId="0" applyFont="1" applyFill="1" applyBorder="1" applyAlignment="1">
      <alignment wrapText="1"/>
    </xf>
    <xf numFmtId="0" fontId="26" fillId="2" borderId="1" xfId="0" applyFont="1" applyFill="1" applyBorder="1"/>
    <xf numFmtId="49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Sheet1!$D$67:$D$86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Sheet1!$E$67:$E$86</c:f>
              <c:numCache>
                <c:formatCode>General</c:formatCode>
                <c:ptCount val="20"/>
                <c:pt idx="0">
                  <c:v>0</c:v>
                </c:pt>
                <c:pt idx="1">
                  <c:v>2.4E-2</c:v>
                </c:pt>
                <c:pt idx="2">
                  <c:v>3.3000000000000002E-2</c:v>
                </c:pt>
                <c:pt idx="3">
                  <c:v>6.0999999999999999E-2</c:v>
                </c:pt>
                <c:pt idx="4">
                  <c:v>0.06</c:v>
                </c:pt>
                <c:pt idx="5">
                  <c:v>0.19800000000000001</c:v>
                </c:pt>
                <c:pt idx="6">
                  <c:v>9.7000000000000003E-2</c:v>
                </c:pt>
                <c:pt idx="7">
                  <c:v>0</c:v>
                </c:pt>
                <c:pt idx="8">
                  <c:v>0</c:v>
                </c:pt>
                <c:pt idx="9">
                  <c:v>0.185</c:v>
                </c:pt>
                <c:pt idx="10">
                  <c:v>0.02</c:v>
                </c:pt>
                <c:pt idx="11">
                  <c:v>0.11700000000000001</c:v>
                </c:pt>
                <c:pt idx="12">
                  <c:v>0</c:v>
                </c:pt>
                <c:pt idx="13">
                  <c:v>0</c:v>
                </c:pt>
                <c:pt idx="14">
                  <c:v>5.1999999999999998E-2</c:v>
                </c:pt>
                <c:pt idx="15">
                  <c:v>0</c:v>
                </c:pt>
                <c:pt idx="16">
                  <c:v>3.5999999999999997E-2</c:v>
                </c:pt>
                <c:pt idx="17">
                  <c:v>7.0000000000000001E-3</c:v>
                </c:pt>
                <c:pt idx="18">
                  <c:v>0</c:v>
                </c:pt>
                <c:pt idx="19">
                  <c:v>0.10999999999999999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Sheet1!$J$67:$J$69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Sheet1!$K$67:$K$69</c:f>
              <c:numCache>
                <c:formatCode>0%</c:formatCode>
                <c:ptCount val="3"/>
                <c:pt idx="0">
                  <c:v>0.72182195219164957</c:v>
                </c:pt>
                <c:pt idx="1">
                  <c:v>0.22958435839329761</c:v>
                </c:pt>
                <c:pt idx="2">
                  <c:v>4.8593689415052828E-2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0" totalsRowShown="0" headerRowDxfId="13" dataDxfId="11" headerRowBorderDxfId="12" tableBorderDxfId="10" totalsRowBorderDxfId="9">
  <autoFilter ref="A27:I90" xr:uid="{00000000-0009-0000-0100-000001000000}"/>
  <sortState xmlns:xlrd2="http://schemas.microsoft.com/office/spreadsheetml/2017/richdata2" ref="A28:I89">
    <sortCondition ref="A27:A8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8"/>
  <sheetViews>
    <sheetView tabSelected="1" topLeftCell="A25" zoomScale="120" zoomScaleNormal="120" workbookViewId="0">
      <selection activeCell="I39" sqref="I39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8" customWidth="1"/>
    <col min="11" max="11" width="13.42578125" style="9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10" t="s">
        <v>0</v>
      </c>
      <c r="B1" s="110"/>
      <c r="C1" s="12">
        <v>45418</v>
      </c>
      <c r="E1" s="14"/>
      <c r="F1" s="14"/>
      <c r="G1" s="43"/>
      <c r="H1" s="14"/>
      <c r="J1" s="65"/>
      <c r="K1" s="79"/>
    </row>
    <row r="2" spans="1:12" s="13" customFormat="1" x14ac:dyDescent="0.25">
      <c r="A2" s="110" t="s">
        <v>10</v>
      </c>
      <c r="B2" s="110"/>
      <c r="C2" s="15">
        <f>C25/C24</f>
        <v>4.9477250107842936</v>
      </c>
      <c r="D2"/>
      <c r="E2" s="23"/>
      <c r="F2" s="17"/>
      <c r="G2" s="17"/>
      <c r="H2" s="16"/>
      <c r="J2" s="65"/>
      <c r="K2" s="79"/>
    </row>
    <row r="3" spans="1:12" s="13" customFormat="1" x14ac:dyDescent="0.25">
      <c r="A3" s="112" t="s">
        <v>76</v>
      </c>
      <c r="B3" s="113"/>
      <c r="C3" s="15">
        <f>SUM(0)/C24</f>
        <v>0</v>
      </c>
      <c r="D3"/>
      <c r="E3" s="23"/>
      <c r="F3" s="17"/>
      <c r="G3" s="17"/>
      <c r="H3" s="16"/>
      <c r="J3" s="65"/>
      <c r="K3" s="79"/>
    </row>
    <row r="4" spans="1:12" s="13" customFormat="1" x14ac:dyDescent="0.25">
      <c r="A4" s="56" t="s">
        <v>52</v>
      </c>
      <c r="B4" s="57"/>
      <c r="C4" s="15">
        <f>SUM(H28:H28)/C24</f>
        <v>0.13505714015618073</v>
      </c>
      <c r="D4"/>
      <c r="E4" s="23"/>
      <c r="F4" s="17"/>
      <c r="G4" s="17"/>
      <c r="H4" s="16"/>
      <c r="J4" s="65"/>
      <c r="K4" s="79"/>
    </row>
    <row r="5" spans="1:12" s="13" customFormat="1" x14ac:dyDescent="0.25">
      <c r="A5" s="56" t="s">
        <v>86</v>
      </c>
      <c r="B5" s="57"/>
      <c r="C5" s="15">
        <f>SUM(H30:H30)/C24</f>
        <v>0.33778455480881903</v>
      </c>
      <c r="D5"/>
      <c r="E5" s="23"/>
      <c r="F5" s="17"/>
      <c r="G5" s="17"/>
      <c r="H5" s="16"/>
      <c r="J5" s="65"/>
      <c r="K5" s="79"/>
    </row>
    <row r="6" spans="1:12" s="13" customFormat="1" x14ac:dyDescent="0.25">
      <c r="A6" s="56" t="s">
        <v>87</v>
      </c>
      <c r="B6" s="57"/>
      <c r="C6" s="15">
        <f>SUM(H31:H31)/C24</f>
        <v>0.33357443672037962</v>
      </c>
      <c r="D6"/>
      <c r="E6" s="23"/>
      <c r="F6" s="17"/>
      <c r="G6" s="17"/>
      <c r="H6" s="16"/>
      <c r="J6" s="65"/>
      <c r="K6" s="79"/>
    </row>
    <row r="7" spans="1:12" s="13" customFormat="1" x14ac:dyDescent="0.25">
      <c r="A7" s="56" t="s">
        <v>46</v>
      </c>
      <c r="B7" s="57"/>
      <c r="C7" s="15">
        <f>SUM(H32:H33)/C24</f>
        <v>1.100247687190081</v>
      </c>
      <c r="D7"/>
      <c r="E7" s="23"/>
      <c r="F7" s="17"/>
      <c r="G7" s="17"/>
      <c r="H7" s="16"/>
      <c r="J7" s="65"/>
      <c r="K7" s="79"/>
    </row>
    <row r="8" spans="1:12" s="13" customFormat="1" x14ac:dyDescent="0.25">
      <c r="A8" s="112" t="s">
        <v>80</v>
      </c>
      <c r="B8" s="113"/>
      <c r="C8" s="15">
        <f>SUM(H34:H35)/C24</f>
        <v>0.53970697762165509</v>
      </c>
      <c r="D8"/>
      <c r="E8" s="23"/>
      <c r="F8" s="17"/>
      <c r="G8" s="17"/>
      <c r="H8" s="16"/>
      <c r="J8" s="65"/>
      <c r="K8" s="79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5"/>
      <c r="K9" s="79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5"/>
      <c r="K10" s="79"/>
      <c r="L10" s="63"/>
    </row>
    <row r="11" spans="1:12" s="13" customFormat="1" x14ac:dyDescent="0.25">
      <c r="A11" s="112" t="s">
        <v>39</v>
      </c>
      <c r="B11" s="113"/>
      <c r="C11" s="15">
        <f>SUM(H36:H51)/C24</f>
        <v>1.0243270840939098</v>
      </c>
      <c r="D11"/>
      <c r="E11" s="23"/>
      <c r="F11" s="17"/>
      <c r="G11" s="17"/>
      <c r="H11" s="16"/>
      <c r="J11" s="65"/>
      <c r="K11" s="79"/>
      <c r="L11" s="36"/>
    </row>
    <row r="12" spans="1:12" s="13" customFormat="1" x14ac:dyDescent="0.25">
      <c r="A12" s="112" t="s">
        <v>60</v>
      </c>
      <c r="B12" s="113"/>
      <c r="C12" s="15">
        <f>SUM(H52:H52)/C24</f>
        <v>0.1115931880134737</v>
      </c>
      <c r="D12"/>
      <c r="E12" s="23"/>
      <c r="F12" s="17"/>
      <c r="G12" s="17"/>
      <c r="H12" s="16"/>
      <c r="J12" s="65"/>
      <c r="K12" s="79"/>
    </row>
    <row r="13" spans="1:12" s="13" customFormat="1" x14ac:dyDescent="0.25">
      <c r="A13" s="112" t="s">
        <v>68</v>
      </c>
      <c r="B13" s="113"/>
      <c r="C13" s="15">
        <f>SUM(H53:H53)/C24</f>
        <v>0.64858637002260267</v>
      </c>
      <c r="D13"/>
      <c r="E13" s="23"/>
      <c r="F13" s="17"/>
      <c r="G13" s="17"/>
      <c r="H13" s="16"/>
      <c r="J13" s="65"/>
      <c r="K13" s="79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5"/>
      <c r="K14" s="79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5"/>
      <c r="K15" s="79"/>
    </row>
    <row r="16" spans="1:12" s="13" customFormat="1" x14ac:dyDescent="0.25">
      <c r="A16" s="112" t="s">
        <v>26</v>
      </c>
      <c r="B16" s="113"/>
      <c r="C16" s="15">
        <f>SUM(H54:H55)/C24</f>
        <v>4.1381296875054319E-2</v>
      </c>
      <c r="D16"/>
      <c r="E16" s="23"/>
      <c r="F16" s="17"/>
      <c r="G16" s="17"/>
      <c r="H16" s="16"/>
      <c r="J16" s="65"/>
      <c r="K16" s="79"/>
    </row>
    <row r="17" spans="1:17" s="13" customFormat="1" x14ac:dyDescent="0.25">
      <c r="A17" s="112" t="s">
        <v>25</v>
      </c>
      <c r="B17" s="113"/>
      <c r="C17" s="15">
        <f>SUM(H56:H61)/C24</f>
        <v>0.29111296189230251</v>
      </c>
      <c r="D17"/>
      <c r="E17" s="23"/>
      <c r="F17" s="17"/>
      <c r="G17" s="17"/>
      <c r="H17" s="16"/>
      <c r="J17" s="65"/>
      <c r="K17" s="79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5"/>
      <c r="K18" s="79"/>
    </row>
    <row r="19" spans="1:17" s="13" customFormat="1" ht="27.75" customHeight="1" x14ac:dyDescent="0.25">
      <c r="A19" s="111" t="s">
        <v>37</v>
      </c>
      <c r="B19" s="111"/>
      <c r="C19" s="15">
        <f>SUM(0)/C24</f>
        <v>0</v>
      </c>
      <c r="D19" s="22"/>
      <c r="E19" s="16"/>
      <c r="F19" s="17"/>
      <c r="G19" s="17"/>
      <c r="H19" s="16"/>
      <c r="J19" s="65"/>
      <c r="K19" s="79"/>
    </row>
    <row r="20" spans="1:17" s="13" customFormat="1" x14ac:dyDescent="0.25">
      <c r="A20" s="112" t="s">
        <v>38</v>
      </c>
      <c r="B20" s="113"/>
      <c r="C20" s="15">
        <f>SUM(H62:H63)/C24</f>
        <v>0.19904691561008656</v>
      </c>
      <c r="D20"/>
      <c r="E20" s="23"/>
      <c r="F20" s="17"/>
      <c r="G20" s="17"/>
      <c r="H20" s="16"/>
      <c r="J20" s="65"/>
      <c r="K20" s="79"/>
    </row>
    <row r="21" spans="1:17" s="13" customFormat="1" ht="12.75" x14ac:dyDescent="0.25">
      <c r="A21" s="110" t="s">
        <v>8</v>
      </c>
      <c r="B21" s="110"/>
      <c r="C21" s="18">
        <v>49014173.869999997</v>
      </c>
      <c r="D21" s="24"/>
      <c r="E21" s="17"/>
      <c r="F21" s="17"/>
      <c r="G21" s="17"/>
      <c r="H21" s="16"/>
      <c r="J21" s="65"/>
      <c r="K21" s="79"/>
    </row>
    <row r="22" spans="1:17" s="13" customFormat="1" ht="12.75" x14ac:dyDescent="0.25">
      <c r="A22" s="110" t="s">
        <v>6</v>
      </c>
      <c r="B22" s="110"/>
      <c r="C22" s="18">
        <v>0</v>
      </c>
      <c r="F22" s="17"/>
      <c r="H22" s="36"/>
      <c r="J22" s="65"/>
      <c r="K22" s="79"/>
    </row>
    <row r="23" spans="1:17" s="13" customFormat="1" ht="12.75" x14ac:dyDescent="0.25">
      <c r="A23" s="110" t="s">
        <v>7</v>
      </c>
      <c r="B23" s="110"/>
      <c r="C23" s="18">
        <v>0</v>
      </c>
      <c r="D23" s="21"/>
      <c r="E23" s="17"/>
      <c r="F23" s="17"/>
      <c r="G23" s="17"/>
      <c r="H23" s="16"/>
      <c r="J23" s="65"/>
      <c r="K23" s="79"/>
    </row>
    <row r="24" spans="1:17" s="13" customFormat="1" ht="12.75" x14ac:dyDescent="0.25">
      <c r="A24" s="110" t="s">
        <v>9</v>
      </c>
      <c r="B24" s="110"/>
      <c r="C24" s="18">
        <f>C21+C22-C23</f>
        <v>49014173.869999997</v>
      </c>
      <c r="D24" s="21"/>
      <c r="E24" s="17"/>
      <c r="F24" s="17"/>
      <c r="G24" s="17"/>
      <c r="H24" s="16"/>
      <c r="J24" s="65"/>
      <c r="K24" s="79"/>
    </row>
    <row r="25" spans="1:17" s="13" customFormat="1" ht="27.75" customHeight="1" x14ac:dyDescent="0.25">
      <c r="A25" s="111" t="s">
        <v>5</v>
      </c>
      <c r="B25" s="111"/>
      <c r="C25" s="11">
        <f t="array" ref="C25">SUM(ABS(Table132[Target allocation ($)]))</f>
        <v>242508653.93952897</v>
      </c>
      <c r="D25" s="21" t="s">
        <v>22</v>
      </c>
      <c r="E25" s="17"/>
      <c r="F25" s="17"/>
      <c r="G25" s="17"/>
      <c r="H25" s="16"/>
      <c r="J25" s="65"/>
      <c r="K25" s="79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6"/>
      <c r="K26" s="79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2" t="s">
        <v>63</v>
      </c>
      <c r="K27" s="92" t="s">
        <v>64</v>
      </c>
    </row>
    <row r="28" spans="1:17" x14ac:dyDescent="0.25">
      <c r="A28" s="44" t="s">
        <v>66</v>
      </c>
      <c r="B28" s="34" t="s">
        <v>14</v>
      </c>
      <c r="C28" s="93">
        <v>140.83000000000001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($)]]/(IF(G87&gt;0, G66,E66)*C24)*100,3)</f>
        <v>2.4329999999999998</v>
      </c>
      <c r="H28" s="39">
        <f>Table132[[#This Row],[New position]]*Table132[[#This Row],[Last_Price]]</f>
        <v>6619714.1500000004</v>
      </c>
      <c r="I28" s="97"/>
      <c r="J28" s="94"/>
      <c r="K28" s="94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3">
        <v>92.68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($)]]/(IF(G87&gt;0, G66,E66)*C24)*100,3)</f>
        <v>3.3380000000000001</v>
      </c>
      <c r="H29" s="39">
        <f>Table132[[#This Row],[New position]]*Table132[[#This Row],[Last_Price]]</f>
        <v>9082640</v>
      </c>
      <c r="I29" s="97"/>
      <c r="J29" s="94"/>
      <c r="K29" s="94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3">
        <v>40.700000000000003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($)]]/(IF(G87&gt;0, G66,E66)*C24)*100,3)</f>
        <v>6.0839999999999996</v>
      </c>
      <c r="H30" s="39">
        <f>Table132[[#This Row],[New position]]*Table132[[#This Row],[Last_Price]]</f>
        <v>16556230.9</v>
      </c>
      <c r="I30" s="105"/>
      <c r="J30" s="94"/>
      <c r="K30" s="94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3">
        <v>202.38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($)]]/(IF(G87&gt;0, G66,E66)*C24)*100,3)</f>
        <v>6.008</v>
      </c>
      <c r="H31" s="39">
        <f>Table132[[#This Row],[New position]]*Table132[[#This Row],[Last_Price]]</f>
        <v>16349875.439999999</v>
      </c>
      <c r="I31" s="105"/>
      <c r="J31" s="94"/>
      <c r="K31" s="94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3">
        <v>218.66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($)]]/(IF(G87&gt;0, G66,E66)*C24)*100,3)</f>
        <v>16.751999999999999</v>
      </c>
      <c r="H32" s="39">
        <f>Table132[[#This Row],[New position]]*Table132[[#This Row],[Last_Price]]</f>
        <v>45587111.439999998</v>
      </c>
      <c r="I32" s="27"/>
      <c r="J32" s="94"/>
      <c r="K32" s="94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3">
        <v>893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($)]]/(IF(G87&gt;0, G66,E66)*C24)*100,3)</f>
        <v>3.0649999999999999</v>
      </c>
      <c r="H33" s="39">
        <f>Table132[[#This Row],[New position]]*Table132[[#This Row],[Last_Price]]</f>
        <v>8340620</v>
      </c>
      <c r="I33" s="104"/>
      <c r="J33" s="94"/>
      <c r="K33" s="94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3">
        <v>54.78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($)]]/(IF(G87&gt;0, G66,E66)*C24)*100,3)</f>
        <v>5.3780000000000001</v>
      </c>
      <c r="H34" s="39">
        <f>Table132[[#This Row],[New position]]*Table132[[#This Row],[Last_Price]]</f>
        <v>14633819.640000001</v>
      </c>
      <c r="I34" s="104"/>
      <c r="J34" s="94"/>
      <c r="K34" s="94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3">
        <v>203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($)]]/(IF(G87&gt;0, G66,E66)*C24)*100,3)</f>
        <v>4.343</v>
      </c>
      <c r="H35" s="39">
        <f>Table132[[#This Row],[New position]]*Table132[[#This Row],[Last_Price]]</f>
        <v>11819472</v>
      </c>
      <c r="I35" s="104"/>
      <c r="J35" s="94"/>
      <c r="K35" s="94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244.134535367545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($)]]/(IF(G87&gt;0, G66,E66)*C24)*100,3)</f>
        <v>8.1000000000000003E-2</v>
      </c>
      <c r="H36" s="39">
        <f>Table132[[#This Row],[New position]]*Table132[[#This Row],[Last_Price]]</f>
        <v>219721.0818307905</v>
      </c>
      <c r="I36" s="52"/>
      <c r="J36" s="94"/>
      <c r="K36" s="95"/>
      <c r="L36"/>
      <c r="M36"/>
      <c r="N36"/>
      <c r="O36"/>
      <c r="P36"/>
      <c r="Q36"/>
    </row>
    <row r="37" spans="1:17" x14ac:dyDescent="0.25">
      <c r="A37" s="109" t="s">
        <v>96</v>
      </c>
      <c r="B37" s="44" t="s">
        <v>14</v>
      </c>
      <c r="C37" s="46">
        <v>5.7</v>
      </c>
      <c r="D37" s="34">
        <v>0</v>
      </c>
      <c r="E37" s="34">
        <v>17600</v>
      </c>
      <c r="F37" s="33">
        <f>Table132[[#This Row],[New position]]-Table132[[#This Row],[Old position]]</f>
        <v>17600</v>
      </c>
      <c r="G37" s="34">
        <f>ROUND(Table132[[#This Row],[Target allocation ($)]]/(IF(G87&gt;0, G66,E66)*C24)*100,3)</f>
        <v>3.6999999999999998E-2</v>
      </c>
      <c r="H37" s="39">
        <f>Table132[[#This Row],[New position]]*Table132[[#This Row],[Last_Price]]</f>
        <v>100320</v>
      </c>
      <c r="I37" s="108"/>
      <c r="J37" s="94" t="s">
        <v>95</v>
      </c>
      <c r="K37" s="95">
        <v>5.81</v>
      </c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47.340153452685399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($)]]/(IF(G87&gt;0, G66,E66)*C24)*100,3)</f>
        <v>0.26600000000000001</v>
      </c>
      <c r="H38" s="39">
        <f>Table132[[#This Row],[New position]]*Table132[[#This Row],[Last_Price]]</f>
        <v>724304.34782608657</v>
      </c>
      <c r="I38" s="52"/>
      <c r="J38" s="94"/>
      <c r="K38" s="94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10.147058823529401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($)]]/(IF(G87&gt;0, G66,E66)*C24)*100,3)</f>
        <v>8.2000000000000003E-2</v>
      </c>
      <c r="H39" s="39">
        <f>Table132[[#This Row],[New position]]*Table132[[#This Row],[Last_Price]]</f>
        <v>223235.29411764682</v>
      </c>
      <c r="I39" s="27"/>
      <c r="J39" s="94"/>
      <c r="K39" s="94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3">
        <v>14.156010230179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($)]]/(IF(G87&gt;0, G66,E66)*C24)*100,3)</f>
        <v>8.1000000000000003E-2</v>
      </c>
      <c r="H40" s="39">
        <f>Table132[[#This Row],[New position]]*Table132[[#This Row],[Last_Price]]</f>
        <v>220833.75959079238</v>
      </c>
      <c r="I40" s="27"/>
      <c r="J40" s="94"/>
      <c r="K40" s="94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3">
        <v>0.91432225063938599</v>
      </c>
      <c r="D41" s="34">
        <v>2684000</v>
      </c>
      <c r="E41" s="34">
        <v>2684000</v>
      </c>
      <c r="F41" s="33">
        <f>Table132[[#This Row],[New position]]-Table132[[#This Row],[Old position]]</f>
        <v>0</v>
      </c>
      <c r="G41" s="34">
        <f>ROUND(Table132[[#This Row],[Target allocation ($)]]/(IF(G87&gt;0, G66,E66)*C24)*100,3)</f>
        <v>0.90200000000000002</v>
      </c>
      <c r="H41" s="39">
        <f>Table132[[#This Row],[New position]]*Table132[[#This Row],[Last_Price]]</f>
        <v>2454040.920716112</v>
      </c>
      <c r="I41" s="59"/>
      <c r="J41" s="94"/>
      <c r="K41" s="95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3">
        <v>2.51918158567775</v>
      </c>
      <c r="D42" s="34">
        <v>2562000</v>
      </c>
      <c r="E42" s="34">
        <v>2562000</v>
      </c>
      <c r="F42" s="33">
        <f>Table132[[#This Row],[New position]]-Table132[[#This Row],[Old position]]</f>
        <v>0</v>
      </c>
      <c r="G42" s="34">
        <f>ROUND(Table132[[#This Row],[Target allocation ($)]]/(IF(G87&gt;0, G66,E66)*C24)*100,3)</f>
        <v>2.3719999999999999</v>
      </c>
      <c r="H42" s="39">
        <f>Table132[[#This Row],[New position]]*Table132[[#This Row],[Last_Price]]</f>
        <v>6454143.2225063955</v>
      </c>
      <c r="I42" s="59"/>
      <c r="J42" s="94"/>
      <c r="K42" s="94"/>
      <c r="L42"/>
      <c r="N42"/>
      <c r="O42"/>
      <c r="P42"/>
      <c r="Q42"/>
    </row>
    <row r="43" spans="1:17" x14ac:dyDescent="0.25">
      <c r="A43" s="34">
        <v>2828</v>
      </c>
      <c r="B43" s="34" t="s">
        <v>14</v>
      </c>
      <c r="C43" s="93">
        <v>8.4961636828644505</v>
      </c>
      <c r="D43" s="34">
        <v>523000</v>
      </c>
      <c r="E43" s="34">
        <v>523000</v>
      </c>
      <c r="F43" s="33">
        <f>Table132[[#This Row],[New position]]-Table132[[#This Row],[Old position]]</f>
        <v>0</v>
      </c>
      <c r="G43" s="34">
        <f>ROUND(Table132[[#This Row],[Target allocation ($)]]/(IF(G87&gt;0, G66,E66)*C24)*100,3)</f>
        <v>1.633</v>
      </c>
      <c r="H43" s="39">
        <f>Table132[[#This Row],[New position]]*Table132[[#This Row],[Last_Price]]</f>
        <v>4443493.6061381074</v>
      </c>
      <c r="I43" s="59"/>
      <c r="J43" s="94"/>
      <c r="K43" s="94"/>
      <c r="L43"/>
      <c r="N43"/>
      <c r="O43"/>
      <c r="P43"/>
      <c r="Q43"/>
    </row>
    <row r="44" spans="1:17" x14ac:dyDescent="0.25">
      <c r="A44" s="34">
        <v>2823</v>
      </c>
      <c r="B44" s="34" t="s">
        <v>14</v>
      </c>
      <c r="C44" s="93">
        <v>1.6662404092071601</v>
      </c>
      <c r="D44" s="34">
        <v>169900</v>
      </c>
      <c r="E44" s="34">
        <v>169900</v>
      </c>
      <c r="F44" s="33">
        <f>Table132[[#This Row],[New position]]-Table132[[#This Row],[Old position]]</f>
        <v>0</v>
      </c>
      <c r="G44" s="34">
        <f>ROUND(Table132[[#This Row],[Target allocation ($)]]/(IF(G87&gt;0, G66,E66)*C24)*100,3)</f>
        <v>0.104</v>
      </c>
      <c r="H44" s="39">
        <f>Table132[[#This Row],[New position]]*Table132[[#This Row],[Last_Price]]</f>
        <v>283094.24552429648</v>
      </c>
      <c r="I44" s="59"/>
      <c r="J44" s="94"/>
      <c r="K44" s="94"/>
      <c r="L44"/>
      <c r="N44"/>
      <c r="O44"/>
      <c r="P44"/>
      <c r="Q44"/>
    </row>
    <row r="45" spans="1:17" x14ac:dyDescent="0.25">
      <c r="A45" s="34">
        <v>2020</v>
      </c>
      <c r="B45" s="34" t="s">
        <v>14</v>
      </c>
      <c r="C45" s="93">
        <v>11.92</v>
      </c>
      <c r="D45" s="34">
        <v>88000</v>
      </c>
      <c r="E45" s="34">
        <v>104800</v>
      </c>
      <c r="F45" s="33">
        <f>Table132[[#This Row],[New position]]-Table132[[#This Row],[Old position]]</f>
        <v>16800</v>
      </c>
      <c r="G45" s="34">
        <f>ROUND(Table132[[#This Row],[Target allocation ($)]]/(IF(G87&gt;0, G66,E66)*C24)*100,3)</f>
        <v>0.45900000000000002</v>
      </c>
      <c r="H45" s="39">
        <f>Table132[[#This Row],[New position]]*Table132[[#This Row],[Last_Price]]</f>
        <v>1249216</v>
      </c>
      <c r="I45" s="59"/>
      <c r="J45" s="94" t="s">
        <v>95</v>
      </c>
      <c r="K45" s="94">
        <v>12.89</v>
      </c>
      <c r="L45"/>
      <c r="N45"/>
      <c r="O45"/>
      <c r="P45"/>
      <c r="Q45"/>
    </row>
    <row r="46" spans="1:17" x14ac:dyDescent="0.25">
      <c r="A46" s="34">
        <v>1288</v>
      </c>
      <c r="B46" s="34" t="s">
        <v>14</v>
      </c>
      <c r="C46" s="93">
        <v>0.44629156010230198</v>
      </c>
      <c r="D46" s="34">
        <v>2325000</v>
      </c>
      <c r="E46" s="34">
        <v>2325000</v>
      </c>
      <c r="F46" s="33">
        <f>Table132[[#This Row],[New position]]-Table132[[#This Row],[Old position]]</f>
        <v>0</v>
      </c>
      <c r="G46" s="34">
        <f>ROUND(Table132[[#This Row],[Target allocation ($)]]/(IF(G87&gt;0, G66,E66)*C24)*100,3)</f>
        <v>0.38100000000000001</v>
      </c>
      <c r="H46" s="39">
        <f>Table132[[#This Row],[New position]]*Table132[[#This Row],[Last_Price]]</f>
        <v>1037627.8772378521</v>
      </c>
      <c r="I46" s="59"/>
      <c r="J46" s="94"/>
      <c r="K46" s="94"/>
      <c r="L46"/>
      <c r="N46"/>
      <c r="O46"/>
      <c r="P46"/>
      <c r="Q46"/>
    </row>
    <row r="47" spans="1:17" x14ac:dyDescent="0.25">
      <c r="A47" s="34">
        <v>921</v>
      </c>
      <c r="B47" s="34" t="s">
        <v>14</v>
      </c>
      <c r="C47" s="93">
        <v>4.5076726342711</v>
      </c>
      <c r="D47" s="34">
        <v>24000</v>
      </c>
      <c r="E47" s="34">
        <v>24000</v>
      </c>
      <c r="F47" s="33">
        <f>Table132[[#This Row],[New position]]-Table132[[#This Row],[Old position]]</f>
        <v>0</v>
      </c>
      <c r="G47" s="34">
        <f>ROUND(Table132[[#This Row],[Target allocation ($)]]/(IF(G87&gt;0, G66,E66)*C24)*100,3)</f>
        <v>0.04</v>
      </c>
      <c r="H47" s="39">
        <f>Table132[[#This Row],[New position]]*Table132[[#This Row],[Last_Price]]</f>
        <v>108184.14322250641</v>
      </c>
      <c r="I47" s="59"/>
      <c r="J47" s="94"/>
      <c r="K47" s="94"/>
      <c r="L47"/>
      <c r="N47"/>
      <c r="O47"/>
      <c r="P47"/>
      <c r="Q47"/>
    </row>
    <row r="48" spans="1:17" x14ac:dyDescent="0.25">
      <c r="A48" s="34">
        <v>2899</v>
      </c>
      <c r="B48" s="34" t="s">
        <v>14</v>
      </c>
      <c r="C48" s="93">
        <v>2.2097186700767302</v>
      </c>
      <c r="D48" s="34">
        <v>1022000</v>
      </c>
      <c r="E48" s="34">
        <v>1022000</v>
      </c>
      <c r="F48" s="33">
        <f>Table132[[#This Row],[New position]]-Table132[[#This Row],[Old position]]</f>
        <v>0</v>
      </c>
      <c r="G48" s="34">
        <f>ROUND(Table132[[#This Row],[Target allocation ($)]]/(IF(G87&gt;0, G66,E66)*C24)*100,3)</f>
        <v>0.83</v>
      </c>
      <c r="H48" s="39">
        <f>Table132[[#This Row],[New position]]*Table132[[#This Row],[Last_Price]]</f>
        <v>2258332.4808184183</v>
      </c>
      <c r="I48" s="27"/>
      <c r="J48" s="94"/>
      <c r="K48" s="94"/>
      <c r="L48"/>
      <c r="N48"/>
      <c r="O48"/>
      <c r="P48"/>
      <c r="Q48"/>
    </row>
    <row r="49" spans="1:17" x14ac:dyDescent="0.25">
      <c r="A49" s="34" t="s">
        <v>62</v>
      </c>
      <c r="B49" s="34" t="s">
        <v>14</v>
      </c>
      <c r="C49" s="93">
        <v>45.2</v>
      </c>
      <c r="D49" s="34">
        <v>191673</v>
      </c>
      <c r="E49" s="34">
        <v>191673</v>
      </c>
      <c r="F49" s="33">
        <f>Table132[[#This Row],[New position]]-Table132[[#This Row],[Old position]]</f>
        <v>0</v>
      </c>
      <c r="G49" s="34">
        <f>ROUND(Table132[[#This Row],[Target allocation ($)]]/(IF(G87&gt;0, G66,E66)*C24)*100,3)</f>
        <v>3.1840000000000002</v>
      </c>
      <c r="H49" s="39">
        <f>Table132[[#This Row],[New position]]*Table132[[#This Row],[Last_Price]]</f>
        <v>8663619.5999999996</v>
      </c>
      <c r="I49" s="64"/>
      <c r="J49" s="94"/>
      <c r="K49" s="96"/>
      <c r="L49"/>
      <c r="M49"/>
      <c r="N49"/>
      <c r="O49"/>
      <c r="P49"/>
      <c r="Q49"/>
    </row>
    <row r="50" spans="1:17" x14ac:dyDescent="0.25">
      <c r="A50" s="34" t="s">
        <v>91</v>
      </c>
      <c r="B50" s="34" t="s">
        <v>14</v>
      </c>
      <c r="C50" s="46">
        <v>36.96</v>
      </c>
      <c r="D50" s="34">
        <v>80000</v>
      </c>
      <c r="E50" s="34">
        <v>80000</v>
      </c>
      <c r="F50" s="33">
        <f>Table132[[#This Row],[New position]]-Table132[[#This Row],[Old position]]</f>
        <v>0</v>
      </c>
      <c r="G50" s="34">
        <f>ROUND(Table132[[#This Row],[Target allocation ($)]]/(IF(G87&gt;0, G66,E66)*C24)*100,3)</f>
        <v>1.087</v>
      </c>
      <c r="H50" s="39">
        <f>Table132[[#This Row],[New position]]*Table132[[#This Row],[Last_Price]]</f>
        <v>2956800</v>
      </c>
      <c r="I50" s="59"/>
      <c r="J50" s="94"/>
      <c r="K50" s="95"/>
      <c r="L50"/>
      <c r="M50"/>
      <c r="N50"/>
      <c r="O50"/>
      <c r="P50"/>
      <c r="Q50"/>
    </row>
    <row r="51" spans="1:17" x14ac:dyDescent="0.25">
      <c r="A51" s="34" t="s">
        <v>57</v>
      </c>
      <c r="B51" s="34" t="s">
        <v>14</v>
      </c>
      <c r="C51" s="93">
        <v>65.180000000000007</v>
      </c>
      <c r="D51" s="34">
        <v>320643</v>
      </c>
      <c r="E51" s="34">
        <v>288579</v>
      </c>
      <c r="F51" s="33">
        <f>Table132[[#This Row],[New position]]-Table132[[#This Row],[Old position]]</f>
        <v>-32064</v>
      </c>
      <c r="G51" s="34">
        <f>ROUND(Table132[[#This Row],[Target allocation ($)]]/(IF(G87&gt;0, G66,E66)*C24)*100,3)</f>
        <v>6.9119999999999999</v>
      </c>
      <c r="H51" s="39">
        <f>Table132[[#This Row],[New position]]*Table132[[#This Row],[Last_Price]]</f>
        <v>18809579.220000003</v>
      </c>
      <c r="I51" s="27" t="s">
        <v>97</v>
      </c>
      <c r="J51" s="94">
        <v>65.900000000000006</v>
      </c>
      <c r="K51" s="94">
        <v>0</v>
      </c>
      <c r="L51"/>
      <c r="M51"/>
      <c r="N51"/>
      <c r="O51"/>
      <c r="P51"/>
      <c r="Q51"/>
    </row>
    <row r="52" spans="1:17" x14ac:dyDescent="0.25">
      <c r="A52" s="44" t="s">
        <v>58</v>
      </c>
      <c r="B52" s="34" t="s">
        <v>14</v>
      </c>
      <c r="C52" s="46">
        <v>108.13</v>
      </c>
      <c r="D52" s="34">
        <v>50584</v>
      </c>
      <c r="E52" s="34">
        <v>50584</v>
      </c>
      <c r="F52" s="33">
        <f>Table132[[#This Row],[New position]]-Table132[[#This Row],[Old position]]</f>
        <v>0</v>
      </c>
      <c r="G52" s="34">
        <f>ROUND(Table132[[#This Row],[Target allocation ($)]]/(IF(G87&gt;0, G66,E66)*C24)*100,3)</f>
        <v>2.0099999999999998</v>
      </c>
      <c r="H52" s="39">
        <f>Table132[[#This Row],[New position]]*Table132[[#This Row],[Last_Price]]</f>
        <v>5469647.9199999999</v>
      </c>
      <c r="I52" s="49"/>
      <c r="J52" s="94"/>
      <c r="K52" s="94"/>
      <c r="L52"/>
      <c r="M52"/>
      <c r="N52"/>
      <c r="O52"/>
      <c r="P52"/>
      <c r="Q52"/>
    </row>
    <row r="53" spans="1:17" x14ac:dyDescent="0.25">
      <c r="A53" s="44" t="s">
        <v>11</v>
      </c>
      <c r="B53" s="34" t="s">
        <v>14</v>
      </c>
      <c r="C53" s="46">
        <v>436.01</v>
      </c>
      <c r="D53" s="34">
        <v>72911</v>
      </c>
      <c r="E53" s="34">
        <v>72911</v>
      </c>
      <c r="F53" s="33">
        <f>Table132[[#This Row],[New position]]-Table132[[#This Row],[Old position]]</f>
        <v>0</v>
      </c>
      <c r="G53" s="34">
        <f>ROUND(Table132[[#This Row],[Target allocation ($)]]/(IF(G87&gt;0, G66,E66)*C24)*100,3)</f>
        <v>11.682</v>
      </c>
      <c r="H53" s="39">
        <f>Table132[[#This Row],[New position]]*Table132[[#This Row],[Last_Price]]</f>
        <v>31789925.109999999</v>
      </c>
      <c r="I53" s="98"/>
      <c r="J53" s="94"/>
      <c r="K53" s="94"/>
      <c r="L53"/>
      <c r="M53"/>
      <c r="N53"/>
      <c r="O53"/>
      <c r="P53"/>
      <c r="Q53"/>
    </row>
    <row r="54" spans="1:17" x14ac:dyDescent="0.25">
      <c r="A54" s="44" t="s">
        <v>31</v>
      </c>
      <c r="B54" s="34" t="s">
        <v>14</v>
      </c>
      <c r="C54" s="46">
        <v>53.95</v>
      </c>
      <c r="D54" s="34">
        <v>27428</v>
      </c>
      <c r="E54" s="34">
        <v>27428</v>
      </c>
      <c r="F54" s="33">
        <f>Table132[[#This Row],[New position]]-Table132[[#This Row],[Old position]]</f>
        <v>0</v>
      </c>
      <c r="G54" s="34">
        <f>ROUND(Table132[[#This Row],[Target allocation ($)]]/(IF(G87&gt;0, G66,E66)*C24)*100,3)</f>
        <v>0.54400000000000004</v>
      </c>
      <c r="H54" s="39">
        <f>Table132[[#This Row],[New position]]*Table132[[#This Row],[Last_Price]]</f>
        <v>1479740.6</v>
      </c>
      <c r="I54" s="99"/>
      <c r="J54" s="94"/>
      <c r="K54" s="94"/>
      <c r="L54"/>
      <c r="M54"/>
      <c r="N54"/>
      <c r="O54"/>
      <c r="P54"/>
      <c r="Q54"/>
    </row>
    <row r="55" spans="1:17" x14ac:dyDescent="0.25">
      <c r="A55" s="44" t="s">
        <v>94</v>
      </c>
      <c r="B55" s="34" t="s">
        <v>14</v>
      </c>
      <c r="C55" s="46">
        <v>23.97</v>
      </c>
      <c r="D55" s="34">
        <v>22884</v>
      </c>
      <c r="E55" s="34">
        <v>22884</v>
      </c>
      <c r="F55" s="33">
        <f>Table132[[#This Row],[New position]]-Table132[[#This Row],[Old position]]</f>
        <v>0</v>
      </c>
      <c r="G55" s="34">
        <f>ROUND(Table132[[#This Row],[Target allocation ($)]]/(IF(G87&gt;0, G66,E66)*C24)*100,3)</f>
        <v>0.20200000000000001</v>
      </c>
      <c r="H55" s="39">
        <f>Table132[[#This Row],[New position]]*Table132[[#This Row],[Last_Price]]</f>
        <v>548529.48</v>
      </c>
      <c r="I55" s="107"/>
      <c r="J55" s="94"/>
      <c r="K55" s="94"/>
      <c r="L55"/>
      <c r="M55"/>
      <c r="N55"/>
      <c r="O55"/>
      <c r="P55"/>
      <c r="Q55"/>
    </row>
    <row r="56" spans="1:17" x14ac:dyDescent="0.25">
      <c r="A56" s="44" t="s">
        <v>32</v>
      </c>
      <c r="B56" s="44" t="s">
        <v>14</v>
      </c>
      <c r="C56" s="46">
        <v>79.260000000000005</v>
      </c>
      <c r="D56" s="34">
        <v>36312</v>
      </c>
      <c r="E56" s="34">
        <v>36312</v>
      </c>
      <c r="F56" s="33">
        <f>Table132[[#This Row],[New position]]-Table132[[#This Row],[Old position]]</f>
        <v>0</v>
      </c>
      <c r="G56" s="34">
        <f>ROUND(Table132[[#This Row],[Target allocation ($)]]/(IF(G87&gt;0, G66,E66)*C24)*100,3)</f>
        <v>1.0580000000000001</v>
      </c>
      <c r="H56" s="39">
        <f>Table132[[#This Row],[New position]]*Table132[[#This Row],[Last_Price]]</f>
        <v>2878089.12</v>
      </c>
      <c r="I56" s="26"/>
      <c r="J56" s="96"/>
      <c r="K56" s="94"/>
      <c r="L56" s="42"/>
      <c r="M56"/>
      <c r="N56"/>
      <c r="O56"/>
      <c r="P56"/>
      <c r="Q56"/>
    </row>
    <row r="57" spans="1:17" x14ac:dyDescent="0.25">
      <c r="A57" s="44" t="s">
        <v>33</v>
      </c>
      <c r="B57" s="44" t="s">
        <v>14</v>
      </c>
      <c r="C57" s="46">
        <v>71.19</v>
      </c>
      <c r="D57" s="34">
        <v>38350</v>
      </c>
      <c r="E57" s="34">
        <v>38350</v>
      </c>
      <c r="F57" s="33">
        <f>Table132[[#This Row],[New position]]-Table132[[#This Row],[Old position]]</f>
        <v>0</v>
      </c>
      <c r="G57" s="34">
        <f>ROUND(Table132[[#This Row],[Target allocation ($)]]/(IF(G87&gt;0, G66,E66)*C24)*100,3)</f>
        <v>1.0029999999999999</v>
      </c>
      <c r="H57" s="39">
        <f>Table132[[#This Row],[New position]]*Table132[[#This Row],[Last_Price]]</f>
        <v>2730136.5</v>
      </c>
      <c r="I57" s="26"/>
      <c r="J57" s="96"/>
      <c r="K57" s="96"/>
      <c r="L57"/>
      <c r="M57"/>
      <c r="N57"/>
      <c r="O57"/>
      <c r="P57"/>
      <c r="Q57"/>
    </row>
    <row r="58" spans="1:17" x14ac:dyDescent="0.25">
      <c r="A58" s="44" t="s">
        <v>42</v>
      </c>
      <c r="B58" s="44" t="s">
        <v>14</v>
      </c>
      <c r="C58" s="46">
        <v>106.4</v>
      </c>
      <c r="D58" s="34">
        <v>26725</v>
      </c>
      <c r="E58" s="34">
        <v>26725</v>
      </c>
      <c r="F58" s="33">
        <f>Table132[[#This Row],[New position]]-Table132[[#This Row],[Old position]]</f>
        <v>0</v>
      </c>
      <c r="G58" s="34">
        <f>ROUND(Table132[[#This Row],[Target allocation ($)]]/(IF(G87&gt;0, G66,E66)*C24)*100,3)</f>
        <v>1.0449999999999999</v>
      </c>
      <c r="H58" s="39">
        <f>Table132[[#This Row],[New position]]*Table132[[#This Row],[Last_Price]]</f>
        <v>2843540</v>
      </c>
      <c r="I58" s="53"/>
      <c r="J58" s="96"/>
      <c r="K58" s="95"/>
      <c r="L58"/>
      <c r="M58"/>
      <c r="N58"/>
      <c r="O58"/>
      <c r="P58"/>
      <c r="Q58"/>
    </row>
    <row r="59" spans="1:17" x14ac:dyDescent="0.25">
      <c r="A59" s="44" t="s">
        <v>47</v>
      </c>
      <c r="B59" s="44" t="s">
        <v>14</v>
      </c>
      <c r="C59" s="46">
        <v>36.22</v>
      </c>
      <c r="D59" s="34">
        <v>78324</v>
      </c>
      <c r="E59" s="34">
        <v>78324</v>
      </c>
      <c r="F59" s="33">
        <f>Table132[[#This Row],[New position]]-Table132[[#This Row],[Old position]]</f>
        <v>0</v>
      </c>
      <c r="G59" s="34">
        <f>ROUND(Table132[[#This Row],[Target allocation ($)]]/(IF(G87&gt;0, G66,E66)*C24)*100,3)</f>
        <v>1.042</v>
      </c>
      <c r="H59" s="39">
        <f>Table132[[#This Row],[New position]]*Table132[[#This Row],[Last_Price]]</f>
        <v>2836895.28</v>
      </c>
      <c r="I59" s="53"/>
      <c r="J59" s="96"/>
      <c r="K59" s="94"/>
      <c r="L59"/>
      <c r="M59"/>
      <c r="N59"/>
      <c r="O59"/>
      <c r="P59"/>
      <c r="Q59"/>
    </row>
    <row r="60" spans="1:17" x14ac:dyDescent="0.25">
      <c r="A60" s="44" t="s">
        <v>92</v>
      </c>
      <c r="B60" s="44" t="s">
        <v>14</v>
      </c>
      <c r="C60" s="46">
        <v>17.260000000000002</v>
      </c>
      <c r="D60" s="34">
        <v>115300</v>
      </c>
      <c r="E60" s="34">
        <v>115300</v>
      </c>
      <c r="F60" s="33">
        <f>Table132[[#This Row],[New position]]-Table132[[#This Row],[Old position]]</f>
        <v>0</v>
      </c>
      <c r="G60" s="34">
        <f>ROUND(Table132[[#This Row],[Target allocation ($)]]/(IF(G87&gt;0, G66,E66)*C24)*100,3)</f>
        <v>0.73099999999999998</v>
      </c>
      <c r="H60" s="39">
        <f>Table132[[#This Row],[New position]]*Table132[[#This Row],[Last_Price]]</f>
        <v>1990078.0000000002</v>
      </c>
      <c r="I60" s="53"/>
      <c r="J60" s="94"/>
      <c r="K60" s="94"/>
      <c r="L60"/>
      <c r="M60"/>
      <c r="N60"/>
      <c r="O60"/>
      <c r="P60"/>
      <c r="Q60"/>
    </row>
    <row r="61" spans="1:17" x14ac:dyDescent="0.25">
      <c r="A61" s="44" t="s">
        <v>61</v>
      </c>
      <c r="B61" s="44" t="s">
        <v>14</v>
      </c>
      <c r="C61" s="46">
        <v>47.11</v>
      </c>
      <c r="D61" s="34">
        <v>21013</v>
      </c>
      <c r="E61" s="34">
        <v>21013</v>
      </c>
      <c r="F61" s="33">
        <f>Table132[[#This Row],[New position]]-Table132[[#This Row],[Old position]]</f>
        <v>0</v>
      </c>
      <c r="G61" s="34">
        <f>ROUND(Table132[[#This Row],[Target allocation ($)]]/(IF(G87&gt;0, G66,E66)*C24)*100,3)</f>
        <v>0.36399999999999999</v>
      </c>
      <c r="H61" s="39">
        <f>Table132[[#This Row],[New position]]*Table132[[#This Row],[Last_Price]]</f>
        <v>989922.42999999993</v>
      </c>
      <c r="I61" s="53"/>
      <c r="J61" s="96"/>
      <c r="K61" s="94"/>
      <c r="L61"/>
      <c r="M61"/>
      <c r="N61"/>
      <c r="O61"/>
      <c r="P61"/>
      <c r="Q61"/>
    </row>
    <row r="62" spans="1:17" x14ac:dyDescent="0.25">
      <c r="A62" s="44" t="s">
        <v>43</v>
      </c>
      <c r="B62" s="44" t="s">
        <v>14</v>
      </c>
      <c r="C62" s="46">
        <v>214.73</v>
      </c>
      <c r="D62" s="34">
        <v>39850</v>
      </c>
      <c r="E62" s="34">
        <v>40781</v>
      </c>
      <c r="F62" s="33">
        <f>Table132[[#This Row],[New position]]-Table132[[#This Row],[Old position]]</f>
        <v>931</v>
      </c>
      <c r="G62" s="34">
        <f>ROUND(Table132[[#This Row],[Target allocation ($)]]/(IF(G87&gt;0, G66,E66)*C24)*100,3)</f>
        <v>3.218</v>
      </c>
      <c r="H62" s="39">
        <f>Table132[[#This Row],[New position]]*Table132[[#This Row],[Last_Price]]</f>
        <v>8756904.129999999</v>
      </c>
      <c r="I62" s="61"/>
      <c r="J62" s="96" t="s">
        <v>95</v>
      </c>
      <c r="K62" s="96">
        <v>215.12</v>
      </c>
      <c r="L62"/>
      <c r="M62"/>
      <c r="N62"/>
      <c r="O62"/>
      <c r="P62"/>
      <c r="Q62"/>
    </row>
    <row r="63" spans="1:17" x14ac:dyDescent="0.25">
      <c r="A63" s="44" t="s">
        <v>93</v>
      </c>
      <c r="B63" s="34" t="s">
        <v>14</v>
      </c>
      <c r="C63" s="46">
        <v>23.13</v>
      </c>
      <c r="D63" s="34">
        <v>43200</v>
      </c>
      <c r="E63" s="34">
        <v>43200</v>
      </c>
      <c r="F63" s="33">
        <f>Table132[[#This Row],[New position]]-Table132[[#This Row],[Old position]]</f>
        <v>0</v>
      </c>
      <c r="G63" s="34">
        <f>ROUND(Table132[[#This Row],[Target allocation ($)]]/(IF(G87&gt;0, G66,E66)*C24)*100,3)</f>
        <v>0.36699999999999999</v>
      </c>
      <c r="H63" s="39">
        <f>Table132[[#This Row],[New position]]*Table132[[#This Row],[Last_Price]]</f>
        <v>999216</v>
      </c>
      <c r="I63" s="107"/>
      <c r="J63" s="94"/>
      <c r="K63" s="94"/>
      <c r="L63"/>
      <c r="M63"/>
      <c r="N63"/>
      <c r="O63"/>
      <c r="P63"/>
      <c r="Q63"/>
    </row>
    <row r="64" spans="1:17" x14ac:dyDescent="0.25">
      <c r="A64" s="44"/>
      <c r="B64" s="44"/>
      <c r="C64" s="46"/>
      <c r="D64" s="34"/>
      <c r="E64" s="34"/>
      <c r="F64" s="31"/>
      <c r="G64" s="34"/>
      <c r="H64" s="46"/>
      <c r="I64" s="48"/>
      <c r="J64" s="68"/>
      <c r="K64" s="82"/>
      <c r="L64"/>
      <c r="M64"/>
      <c r="N64"/>
      <c r="O64"/>
      <c r="P64"/>
      <c r="Q64"/>
    </row>
    <row r="65" spans="1:17" x14ac:dyDescent="0.25">
      <c r="A65" s="44"/>
      <c r="B65" s="44"/>
      <c r="C65" s="45"/>
      <c r="D65" s="35"/>
      <c r="E65" s="54" t="s">
        <v>40</v>
      </c>
      <c r="F65" s="31"/>
      <c r="G65" s="55" t="s">
        <v>41</v>
      </c>
      <c r="H65" s="46"/>
      <c r="I65" s="48"/>
      <c r="J65" s="68"/>
      <c r="K65" s="82"/>
      <c r="L65"/>
      <c r="M65"/>
      <c r="N65"/>
      <c r="O65"/>
      <c r="P65"/>
      <c r="Q65"/>
    </row>
    <row r="66" spans="1:17" ht="30" x14ac:dyDescent="0.25">
      <c r="A66" s="44" t="s">
        <v>30</v>
      </c>
      <c r="B66" s="44"/>
      <c r="C66" s="45"/>
      <c r="D66" s="35"/>
      <c r="E66" s="34">
        <f xml:space="preserve"> IF(G87&gt;0, (C25+ABS(G87*G66))/C21, C25/C21)</f>
        <v>5.5519999999999987</v>
      </c>
      <c r="F66" s="31"/>
      <c r="G66" s="34">
        <v>5.5519999999999996</v>
      </c>
      <c r="H66" s="46"/>
      <c r="I66" s="48"/>
      <c r="J66" s="100" t="s">
        <v>69</v>
      </c>
      <c r="K66" s="81" t="s">
        <v>70</v>
      </c>
      <c r="L66"/>
      <c r="M66"/>
      <c r="N66"/>
      <c r="O66"/>
      <c r="P66"/>
      <c r="Q66"/>
    </row>
    <row r="67" spans="1:17" ht="15" customHeight="1" x14ac:dyDescent="0.25">
      <c r="A67" s="34" t="s">
        <v>34</v>
      </c>
      <c r="B67" s="34"/>
      <c r="C67" s="34"/>
      <c r="D67" s="47" t="str">
        <f>Table132[[#This Row],[Symbol]]</f>
        <v>SingleStocks</v>
      </c>
      <c r="E67" s="34">
        <f>ROUND(SUM(0)/100, 3)</f>
        <v>0</v>
      </c>
      <c r="F67" s="47" t="str">
        <f>Table132[[#This Row],[Symbol]]</f>
        <v>SingleStocks</v>
      </c>
      <c r="G67" s="34">
        <f>SUM(0)/(G66*C24)</f>
        <v>0</v>
      </c>
      <c r="H67" s="34"/>
      <c r="I67" s="93"/>
      <c r="J67" s="67" t="s">
        <v>71</v>
      </c>
      <c r="K67" s="103">
        <f>1-SUM(K68:K69)</f>
        <v>0.72182195219164957</v>
      </c>
      <c r="L67"/>
      <c r="M67"/>
      <c r="N67"/>
      <c r="O67"/>
      <c r="P67"/>
      <c r="Q67"/>
    </row>
    <row r="68" spans="1:17" ht="15" customHeight="1" x14ac:dyDescent="0.25">
      <c r="A68" s="44" t="s">
        <v>53</v>
      </c>
      <c r="B68" s="44"/>
      <c r="C68" s="45"/>
      <c r="D68" s="47" t="str">
        <f>Table132[[#This Row],[Symbol]]</f>
        <v>Healthcare</v>
      </c>
      <c r="E68" s="34">
        <f>ROUND(SUM(G28:G28)/100, 3)</f>
        <v>2.4E-2</v>
      </c>
      <c r="F68" s="47" t="str">
        <f>Table132[[#This Row],[Symbol]]</f>
        <v>Healthcare</v>
      </c>
      <c r="G68" s="34">
        <f>SUM(H28:H28)/(G66*C24)</f>
        <v>2.4325853774528231E-2</v>
      </c>
      <c r="H68" s="46"/>
      <c r="I68" s="93"/>
      <c r="J68" s="67" t="s">
        <v>72</v>
      </c>
      <c r="K68" s="101">
        <f>SUM(H36:H52)/C25</f>
        <v>0.22958435839329761</v>
      </c>
      <c r="L68"/>
      <c r="M68"/>
      <c r="N68"/>
      <c r="O68"/>
      <c r="P68"/>
      <c r="Q68"/>
    </row>
    <row r="69" spans="1:17" ht="15" customHeight="1" x14ac:dyDescent="0.25">
      <c r="A69" s="44" t="s">
        <v>90</v>
      </c>
      <c r="B69" s="44"/>
      <c r="C69" s="45"/>
      <c r="D69" s="47" t="str">
        <f>Table132[[#This Row],[Symbol]]</f>
        <v>Energy</v>
      </c>
      <c r="E69" s="34">
        <f>ROUND(SUM(G29:G29)/100, 3)</f>
        <v>3.3000000000000002E-2</v>
      </c>
      <c r="F69" s="47" t="str">
        <f>Table132[[#This Row],[Symbol]]</f>
        <v>Energy</v>
      </c>
      <c r="G69" s="34">
        <f>SUM(H29:H29)/(G66*C24)</f>
        <v>3.3376512568398603E-2</v>
      </c>
      <c r="H69" s="46"/>
      <c r="I69" s="106"/>
      <c r="J69" s="67" t="s">
        <v>73</v>
      </c>
      <c r="K69" s="102">
        <f>(H62+H63+H54+H55)/C25</f>
        <v>4.8593689415052828E-2</v>
      </c>
      <c r="L69"/>
      <c r="M69"/>
      <c r="N69"/>
      <c r="O69"/>
      <c r="P69"/>
      <c r="Q69"/>
    </row>
    <row r="70" spans="1:17" ht="15" customHeight="1" x14ac:dyDescent="0.25">
      <c r="A70" s="44" t="s">
        <v>84</v>
      </c>
      <c r="B70" s="44"/>
      <c r="C70" s="45"/>
      <c r="D70" s="47" t="str">
        <f>Table132[[#This Row],[Symbol]]</f>
        <v>Financials</v>
      </c>
      <c r="E70" s="34">
        <f>ROUND(SUM(G30:G30)/100, 3)</f>
        <v>6.0999999999999999E-2</v>
      </c>
      <c r="F70" s="47" t="str">
        <f>Table132[[#This Row],[Symbol]]</f>
        <v>Financials</v>
      </c>
      <c r="G70" s="51">
        <f>SUM(H30:H30)/(G66*C24)</f>
        <v>6.084015756642995E-2</v>
      </c>
      <c r="H70" s="46"/>
      <c r="I70" s="93"/>
      <c r="J70" s="67"/>
      <c r="K70" s="101"/>
      <c r="L70"/>
      <c r="M70"/>
      <c r="N70"/>
      <c r="O70"/>
      <c r="P70"/>
      <c r="Q70"/>
    </row>
    <row r="71" spans="1:17" ht="15" customHeight="1" x14ac:dyDescent="0.25">
      <c r="A71" s="44" t="s">
        <v>85</v>
      </c>
      <c r="B71" s="44"/>
      <c r="C71" s="45"/>
      <c r="D71" s="47" t="str">
        <f>Table132[[#This Row],[Symbol]]</f>
        <v>Techs</v>
      </c>
      <c r="E71" s="51">
        <f>ROUND(SUM(G31:G31)/100, 3)</f>
        <v>0.06</v>
      </c>
      <c r="F71" s="47" t="str">
        <f>Table132[[#This Row],[Symbol]]</f>
        <v>Techs</v>
      </c>
      <c r="G71" s="34">
        <f>SUM(H31:H31)/(G66*C24)</f>
        <v>6.00818509943047E-2</v>
      </c>
      <c r="H71" s="46"/>
      <c r="I71" s="105"/>
      <c r="K71" s="83"/>
      <c r="L71"/>
      <c r="M71"/>
      <c r="N71"/>
      <c r="O71"/>
      <c r="P71"/>
      <c r="Q71"/>
    </row>
    <row r="72" spans="1:17" ht="15" customHeight="1" x14ac:dyDescent="0.25">
      <c r="A72" s="44" t="s">
        <v>49</v>
      </c>
      <c r="B72" s="44"/>
      <c r="C72" s="45"/>
      <c r="D72" s="47" t="str">
        <f>Table132[[#This Row],[Symbol]]</f>
        <v>Semiconductor</v>
      </c>
      <c r="E72" s="34">
        <f>ROUND(SUM(G32:G33)/100, 3)</f>
        <v>0.19800000000000001</v>
      </c>
      <c r="F72" s="47" t="str">
        <f>Table132[[#This Row],[Symbol]]</f>
        <v>Semiconductor</v>
      </c>
      <c r="G72" s="51">
        <f>SUM(H32:H33)/(G66*C24)</f>
        <v>0.19817141339878983</v>
      </c>
      <c r="H72" s="46"/>
      <c r="I72" s="93"/>
      <c r="J72" s="69"/>
      <c r="K72" s="83"/>
      <c r="L72"/>
      <c r="M72"/>
      <c r="N72"/>
      <c r="O72"/>
      <c r="P72"/>
      <c r="Q72"/>
    </row>
    <row r="73" spans="1:17" ht="15.75" customHeight="1" x14ac:dyDescent="0.25">
      <c r="A73" s="44" t="s">
        <v>88</v>
      </c>
      <c r="B73" s="44"/>
      <c r="C73" s="45"/>
      <c r="D73" s="47" t="str">
        <f>Table132[[#This Row],[Symbol]]</f>
        <v>Russell</v>
      </c>
      <c r="E73" s="51">
        <f>ROUND(SUM(G34:G35)/100, 3)</f>
        <v>9.7000000000000003E-2</v>
      </c>
      <c r="F73" s="47" t="str">
        <f>Table132[[#This Row],[Symbol]]</f>
        <v>Russell</v>
      </c>
      <c r="G73" s="51">
        <f>SUM(H34:H35)/(G66*C24)</f>
        <v>9.7209470032718875E-2</v>
      </c>
      <c r="H73" s="46"/>
      <c r="I73" s="93"/>
      <c r="J73" s="69"/>
      <c r="K73" s="83"/>
      <c r="L73"/>
      <c r="M73"/>
      <c r="N73"/>
      <c r="O73"/>
      <c r="P73"/>
      <c r="Q73"/>
    </row>
    <row r="74" spans="1:17" ht="15.75" customHeight="1" x14ac:dyDescent="0.25">
      <c r="A74" s="44" t="s">
        <v>44</v>
      </c>
      <c r="B74" s="44"/>
      <c r="C74" s="45"/>
      <c r="D74" s="47" t="str">
        <f>Table132[[#This Row],[Symbol]]</f>
        <v>S&amp;P</v>
      </c>
      <c r="E74" s="34">
        <f>ROUND(0/100, 3)</f>
        <v>0</v>
      </c>
      <c r="F74" s="47" t="str">
        <f>Table132[[#This Row],[Symbol]]</f>
        <v>S&amp;P</v>
      </c>
      <c r="G74" s="34">
        <f>SUM(0)/(G66*C24)</f>
        <v>0</v>
      </c>
      <c r="H74" s="46"/>
      <c r="I74" s="93"/>
      <c r="J74" s="69"/>
      <c r="K74" s="83"/>
      <c r="L74"/>
      <c r="M74"/>
      <c r="N74"/>
      <c r="O74"/>
      <c r="P74"/>
      <c r="Q74"/>
    </row>
    <row r="75" spans="1:17" ht="15.75" customHeight="1" x14ac:dyDescent="0.25">
      <c r="A75" s="44" t="s">
        <v>45</v>
      </c>
      <c r="B75" s="44"/>
      <c r="C75" s="45"/>
      <c r="D75" s="47" t="str">
        <f>Table132[[#This Row],[Symbol]]</f>
        <v>Dow Jones</v>
      </c>
      <c r="E75" s="34">
        <f>ROUND(0/100, 3)</f>
        <v>0</v>
      </c>
      <c r="F75" s="47" t="str">
        <f>Table132[[#This Row],[Symbol]]</f>
        <v>Dow Jones</v>
      </c>
      <c r="G75" s="51">
        <f>SUM(0)/(G66*C24)</f>
        <v>0</v>
      </c>
      <c r="H75" s="46"/>
      <c r="I75" s="52"/>
      <c r="J75" s="69"/>
      <c r="K75" s="83"/>
      <c r="L75"/>
      <c r="M75"/>
      <c r="N75"/>
      <c r="O75"/>
      <c r="P75"/>
      <c r="Q75"/>
    </row>
    <row r="76" spans="1:17" ht="14.25" customHeight="1" x14ac:dyDescent="0.25">
      <c r="A76" s="44" t="s">
        <v>48</v>
      </c>
      <c r="B76" s="44"/>
      <c r="C76" s="45"/>
      <c r="D76" s="47" t="str">
        <f>Table132[[#This Row],[Symbol]]</f>
        <v>Int Stocks</v>
      </c>
      <c r="E76" s="34">
        <f>ROUND(SUM(G36:G51)/100, 3)</f>
        <v>0.185</v>
      </c>
      <c r="F76" s="47" t="str">
        <f>Table132[[#This Row],[Symbol]]</f>
        <v>Int Stocks</v>
      </c>
      <c r="G76" s="34">
        <f>SUM(H36:H51)/(G66*C24)</f>
        <v>0.18449695318694342</v>
      </c>
      <c r="H76" s="46"/>
      <c r="I76" s="46"/>
      <c r="J76" s="71"/>
      <c r="K76" s="85"/>
      <c r="L76"/>
      <c r="M76"/>
      <c r="N76"/>
      <c r="O76"/>
      <c r="P76"/>
      <c r="Q76"/>
    </row>
    <row r="77" spans="1:17" ht="14.25" customHeight="1" x14ac:dyDescent="0.25">
      <c r="A77" s="44" t="s">
        <v>59</v>
      </c>
      <c r="B77" s="44"/>
      <c r="C77" s="45"/>
      <c r="D77" s="47" t="str">
        <f>Table132[[#This Row],[Symbol]]</f>
        <v>JP Stocks</v>
      </c>
      <c r="E77" s="34">
        <f>ROUND(SUM(G52:G52)/100, 3)</f>
        <v>0.02</v>
      </c>
      <c r="F77" s="47" t="str">
        <f>Table132[[#This Row],[Symbol]]</f>
        <v>JP Stocks</v>
      </c>
      <c r="G77" s="34">
        <f>SUM(H52:H52)/(G66*C24)</f>
        <v>2.0099637610495987E-2</v>
      </c>
      <c r="H77" s="46"/>
      <c r="I77" s="62"/>
      <c r="J77" s="67"/>
      <c r="K77" s="81"/>
      <c r="L77"/>
      <c r="M77"/>
      <c r="N77"/>
      <c r="O77"/>
      <c r="P77"/>
      <c r="Q77"/>
    </row>
    <row r="78" spans="1:17" ht="15.75" customHeight="1" x14ac:dyDescent="0.25">
      <c r="A78" s="44" t="s">
        <v>67</v>
      </c>
      <c r="B78" s="44"/>
      <c r="C78" s="45"/>
      <c r="D78" s="47" t="str">
        <f>Table132[[#This Row],[Symbol]]</f>
        <v>Nasdaq</v>
      </c>
      <c r="E78" s="51">
        <f>ROUND(SUM(G53)/100, 3)</f>
        <v>0.11700000000000001</v>
      </c>
      <c r="F78" s="47" t="str">
        <f>Table132[[#This Row],[Symbol]]</f>
        <v>Nasdaq</v>
      </c>
      <c r="G78" s="34">
        <f>SUM(H53)/(G66*C24)</f>
        <v>0.11682031160349472</v>
      </c>
      <c r="H78" s="46"/>
      <c r="I78" s="27"/>
      <c r="J78" s="67"/>
      <c r="K78" s="81"/>
      <c r="L78"/>
      <c r="M78"/>
      <c r="N78"/>
      <c r="O78"/>
      <c r="P78"/>
      <c r="Q78"/>
    </row>
    <row r="79" spans="1:17" ht="15.75" customHeight="1" x14ac:dyDescent="0.25">
      <c r="A79" s="58" t="s">
        <v>50</v>
      </c>
      <c r="B79" s="44"/>
      <c r="C79" s="45"/>
      <c r="D79" s="47" t="str">
        <f>Table132[[#This Row],[Symbol]]</f>
        <v>Regional Bank</v>
      </c>
      <c r="E79" s="51">
        <f>ROUND(SUM(0)/100, 3)</f>
        <v>0</v>
      </c>
      <c r="F79" s="47" t="str">
        <f>Table132[[#This Row],[Symbol]]</f>
        <v>Regional Bank</v>
      </c>
      <c r="G79" s="51">
        <f>SUM(0)/(G66*C24)</f>
        <v>0</v>
      </c>
      <c r="H79" s="46"/>
      <c r="I79" s="27"/>
      <c r="J79" s="70"/>
      <c r="K79" s="84"/>
      <c r="L79"/>
      <c r="M79"/>
      <c r="N79"/>
      <c r="O79"/>
      <c r="P79"/>
      <c r="Q79"/>
    </row>
    <row r="80" spans="1:17" ht="15.75" customHeight="1" x14ac:dyDescent="0.25">
      <c r="A80" s="44" t="s">
        <v>51</v>
      </c>
      <c r="B80" s="44"/>
      <c r="C80" s="45"/>
      <c r="D80" s="47" t="str">
        <f>Table132[[#This Row],[Symbol]]</f>
        <v>Short</v>
      </c>
      <c r="E80" s="34">
        <f>ROUND(SUM(0)/100, 3)</f>
        <v>0</v>
      </c>
      <c r="F80" s="47" t="str">
        <f>Table132[[#This Row],[Symbol]]</f>
        <v>Short</v>
      </c>
      <c r="G80" s="34">
        <f>SUM(0)/(G66*C24)</f>
        <v>0</v>
      </c>
      <c r="H80" s="46"/>
      <c r="I80" s="59"/>
      <c r="J80" s="67"/>
      <c r="K80" s="81"/>
      <c r="L80"/>
      <c r="M80"/>
      <c r="N80"/>
      <c r="O80"/>
      <c r="P80"/>
      <c r="Q80"/>
    </row>
    <row r="81" spans="1:17" ht="14.25" customHeight="1" x14ac:dyDescent="0.25">
      <c r="A81" s="34" t="s">
        <v>27</v>
      </c>
      <c r="B81" s="44"/>
      <c r="C81" s="45"/>
      <c r="D81" s="47" t="str">
        <f>Table132[[#This Row],[Symbol]]</f>
        <v>Bonds</v>
      </c>
      <c r="E81" s="34">
        <f>ROUND((SUM(G56:G61))/100, 3)</f>
        <v>5.1999999999999998E-2</v>
      </c>
      <c r="F81" s="47" t="str">
        <f>Table132[[#This Row],[Symbol]]</f>
        <v>Bonds</v>
      </c>
      <c r="G81" s="34">
        <f>(SUM(H56:H61))/(G66*C24)</f>
        <v>5.2433890830746142E-2</v>
      </c>
      <c r="H81" s="46"/>
      <c r="I81" s="27"/>
      <c r="J81" s="72"/>
      <c r="K81" s="86"/>
      <c r="L81"/>
      <c r="M81"/>
      <c r="N81"/>
      <c r="O81"/>
      <c r="P81"/>
      <c r="Q81"/>
    </row>
    <row r="82" spans="1:17" ht="14.25" customHeight="1" x14ac:dyDescent="0.25">
      <c r="A82" s="44" t="s">
        <v>55</v>
      </c>
      <c r="B82" s="44"/>
      <c r="C82" s="45"/>
      <c r="D82" s="47" t="str">
        <f>Table132[[#This Row],[Symbol]]</f>
        <v>Core</v>
      </c>
      <c r="E82" s="34">
        <f>ROUND((SUM(0))/100, 3)</f>
        <v>0</v>
      </c>
      <c r="F82" s="47" t="str">
        <f>Table132[[#This Row],[Symbol]]</f>
        <v>Core</v>
      </c>
      <c r="G82" s="34">
        <f>(SUM(0))/(G66*C24)</f>
        <v>0</v>
      </c>
      <c r="H82" s="46"/>
      <c r="I82" s="60"/>
      <c r="J82" s="73"/>
      <c r="K82" s="80"/>
      <c r="L82"/>
      <c r="M82"/>
      <c r="N82"/>
      <c r="O82"/>
      <c r="P82"/>
      <c r="Q82"/>
    </row>
    <row r="83" spans="1:17" ht="14.25" customHeight="1" x14ac:dyDescent="0.25">
      <c r="A83" s="44" t="s">
        <v>36</v>
      </c>
      <c r="B83" s="34"/>
      <c r="C83" s="34"/>
      <c r="D83" s="47" t="str">
        <f>Table132[[#This Row],[Symbol]]</f>
        <v>Gold</v>
      </c>
      <c r="E83" s="34">
        <f>ROUND(SUM(G62:G63)/100,3)</f>
        <v>3.5999999999999997E-2</v>
      </c>
      <c r="F83" s="47" t="str">
        <f>Table132[[#This Row],[Symbol]]</f>
        <v>Gold</v>
      </c>
      <c r="G83" s="34">
        <f>SUM(H62:H63)/(G66*C24)</f>
        <v>3.5851389699223087E-2</v>
      </c>
      <c r="H83" s="34"/>
      <c r="I83" s="28"/>
      <c r="J83" s="74"/>
      <c r="K83" s="87"/>
      <c r="L83"/>
      <c r="M83"/>
      <c r="N83"/>
      <c r="O83"/>
      <c r="P83"/>
      <c r="Q83"/>
    </row>
    <row r="84" spans="1:17" ht="15" customHeight="1" x14ac:dyDescent="0.25">
      <c r="A84" s="34" t="s">
        <v>28</v>
      </c>
      <c r="B84" s="34"/>
      <c r="C84" s="34"/>
      <c r="D84" s="47" t="str">
        <f>Table132[[#This Row],[Symbol]]</f>
        <v>Commodities</v>
      </c>
      <c r="E84" s="34">
        <f>ROUND(SUM(G54:G55)/100,3)</f>
        <v>7.0000000000000001E-3</v>
      </c>
      <c r="F84" s="47" t="str">
        <f>Table132[[#This Row],[Symbol]]</f>
        <v>Commodities</v>
      </c>
      <c r="G84" s="51">
        <f>SUM(H54:H55)/(G66*C24)</f>
        <v>7.4534036158239066E-3</v>
      </c>
      <c r="H84" s="34"/>
      <c r="I84" s="29"/>
      <c r="J84" s="75"/>
      <c r="K84" s="88"/>
      <c r="L84"/>
      <c r="M84"/>
      <c r="N84"/>
      <c r="O84"/>
      <c r="P84"/>
      <c r="Q84"/>
    </row>
    <row r="85" spans="1:17" ht="14.25" customHeight="1" x14ac:dyDescent="0.25">
      <c r="A85" s="44" t="s">
        <v>35</v>
      </c>
      <c r="B85" s="44"/>
      <c r="C85" s="45"/>
      <c r="D85" s="47" t="str">
        <f>Table132[[#This Row],[Symbol]]</f>
        <v>Crypto</v>
      </c>
      <c r="E85" s="51">
        <f>ROUND(SUM(0)/100,3)</f>
        <v>0</v>
      </c>
      <c r="F85" s="47" t="str">
        <f>Table132[[#This Row],[Symbol]]</f>
        <v>Crypto</v>
      </c>
      <c r="G85" s="34">
        <f>SUM(0)/(G66*C24)</f>
        <v>0</v>
      </c>
      <c r="H85" s="46"/>
      <c r="I85" s="50"/>
      <c r="J85" s="67"/>
      <c r="K85" s="81"/>
      <c r="L85"/>
      <c r="M85"/>
      <c r="N85"/>
      <c r="O85"/>
      <c r="P85"/>
      <c r="Q85"/>
    </row>
    <row r="86" spans="1:17" ht="14.25" customHeight="1" x14ac:dyDescent="0.25">
      <c r="A86" s="34" t="s">
        <v>23</v>
      </c>
      <c r="B86" s="34"/>
      <c r="C86" s="34"/>
      <c r="D86" s="47" t="str">
        <f>Table132[[#This Row],[Symbol]]</f>
        <v>Cash</v>
      </c>
      <c r="E86" s="34">
        <f>1-SUM(E67:E85)</f>
        <v>0.10999999999999999</v>
      </c>
      <c r="F86" s="47" t="str">
        <f>Table132[[#This Row],[Symbol]]</f>
        <v>Cash</v>
      </c>
      <c r="G86" s="51">
        <f>1-SUM(G67:G85)</f>
        <v>0.10883915511810272</v>
      </c>
      <c r="H86" s="34"/>
      <c r="I86" s="27"/>
      <c r="J86" s="76"/>
      <c r="K86" s="89"/>
      <c r="L86"/>
      <c r="M86"/>
      <c r="N86"/>
      <c r="O86"/>
      <c r="P86"/>
      <c r="Q86"/>
    </row>
    <row r="87" spans="1:17" x14ac:dyDescent="0.25">
      <c r="A87" s="25" t="s">
        <v>29</v>
      </c>
      <c r="B87" s="25"/>
      <c r="C87" s="32"/>
      <c r="D87" s="31"/>
      <c r="E87" s="39">
        <f>C24*E86</f>
        <v>5391559.1256999988</v>
      </c>
      <c r="F87" s="31"/>
      <c r="G87" s="39">
        <f>C24*G86</f>
        <v>5334661.2728225868</v>
      </c>
      <c r="H87" s="39"/>
      <c r="I87" s="30"/>
      <c r="J87" s="67"/>
      <c r="K87" s="81"/>
      <c r="L87"/>
      <c r="M87"/>
      <c r="N87"/>
      <c r="O87"/>
      <c r="P87"/>
      <c r="Q87"/>
    </row>
    <row r="88" spans="1:17" x14ac:dyDescent="0.25">
      <c r="A88" s="25"/>
      <c r="B88" s="25"/>
      <c r="C88" s="32"/>
      <c r="D88" s="25"/>
      <c r="E88" s="25"/>
      <c r="F88" s="25"/>
      <c r="G88" s="34"/>
      <c r="H88" s="39"/>
      <c r="I88" s="27"/>
      <c r="J88" s="67"/>
      <c r="K88" s="81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31"/>
      <c r="G89" s="34"/>
      <c r="H89" s="39"/>
      <c r="I89" s="27"/>
      <c r="J89" s="67"/>
      <c r="K89" s="81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77"/>
      <c r="K90" s="90"/>
      <c r="L90"/>
      <c r="M90"/>
      <c r="N90"/>
      <c r="O90"/>
      <c r="P90"/>
      <c r="Q90"/>
    </row>
    <row r="91" spans="1:17" x14ac:dyDescent="0.25">
      <c r="A91" s="20"/>
      <c r="B91" s="5" t="s">
        <v>21</v>
      </c>
      <c r="D91" s="1"/>
      <c r="E91" s="5" t="s">
        <v>20</v>
      </c>
      <c r="F91" s="1"/>
      <c r="G91" s="5"/>
      <c r="H91" s="40" t="s">
        <v>2</v>
      </c>
      <c r="I91" s="4"/>
      <c r="L91"/>
      <c r="M91"/>
      <c r="N91"/>
      <c r="O91"/>
      <c r="P91"/>
      <c r="Q91"/>
    </row>
    <row r="92" spans="1:17" x14ac:dyDescent="0.25">
      <c r="B92" s="5" t="s">
        <v>24</v>
      </c>
      <c r="D92" s="1"/>
      <c r="E92" s="5" t="s">
        <v>24</v>
      </c>
      <c r="F92" s="1"/>
      <c r="G92" s="5"/>
      <c r="H92" s="40" t="s">
        <v>3</v>
      </c>
      <c r="L92"/>
      <c r="M92"/>
      <c r="N92"/>
      <c r="O92"/>
      <c r="P92"/>
      <c r="Q92"/>
    </row>
    <row r="93" spans="1:17" x14ac:dyDescent="0.25">
      <c r="B93" s="3"/>
      <c r="C93"/>
      <c r="D93" s="1"/>
      <c r="E93" s="3"/>
      <c r="F93" s="19"/>
      <c r="G93" s="3"/>
      <c r="H93" s="41"/>
      <c r="L93"/>
      <c r="M93"/>
      <c r="N93"/>
      <c r="O93"/>
      <c r="P93"/>
      <c r="Q93"/>
    </row>
    <row r="94" spans="1:17" x14ac:dyDescent="0.25">
      <c r="C94"/>
      <c r="L94"/>
      <c r="M94"/>
      <c r="N94"/>
      <c r="O94"/>
      <c r="P94"/>
      <c r="Q94"/>
    </row>
    <row r="95" spans="1:17" x14ac:dyDescent="0.25"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2024-05-20T09:10:57Z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