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5-2024/"/>
    </mc:Choice>
  </mc:AlternateContent>
  <xr:revisionPtr revIDLastSave="4912" documentId="14_{A48F4B07-3EF3-43E5-91B2-4CA340E6013A}" xr6:coauthVersionLast="47" xr6:coauthVersionMax="47" xr10:uidLastSave="{88916A80-6A59-4EE7-9B06-29623FC0E3FE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3" l="1"/>
  <c r="F37" i="3"/>
  <c r="F51" i="3"/>
  <c r="H38" i="3" l="1"/>
  <c r="F38" i="3"/>
  <c r="H48" i="3"/>
  <c r="F48" i="3"/>
  <c r="H64" i="3"/>
  <c r="H56" i="3"/>
  <c r="F64" i="3"/>
  <c r="F56" i="3"/>
  <c r="F61" i="3" l="1"/>
  <c r="H61" i="3"/>
  <c r="H51" i="3" l="1"/>
  <c r="H49" i="3" l="1"/>
  <c r="F49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3" i="3"/>
  <c r="F33" i="3"/>
  <c r="H34" i="3" l="1"/>
  <c r="H35" i="3"/>
  <c r="F34" i="3"/>
  <c r="F35" i="3"/>
  <c r="F55" i="3"/>
  <c r="H55" i="3"/>
  <c r="E81" i="3" l="1"/>
  <c r="E86" i="3" l="1"/>
  <c r="F54" i="3"/>
  <c r="H54" i="3" l="1"/>
  <c r="E83" i="3"/>
  <c r="E80" i="3"/>
  <c r="H28" i="3"/>
  <c r="F28" i="3"/>
  <c r="E68" i="3"/>
  <c r="H32" i="3"/>
  <c r="F32" i="3"/>
  <c r="F50" i="3" l="1"/>
  <c r="H50" i="3"/>
  <c r="E76" i="3" l="1"/>
  <c r="E75" i="3"/>
  <c r="F78" i="3" l="1"/>
  <c r="D78" i="3"/>
  <c r="F63" i="3" l="1"/>
  <c r="H63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8" i="3" l="1"/>
  <c r="H59" i="3"/>
  <c r="H60" i="3"/>
  <c r="H62" i="3"/>
  <c r="F58" i="3"/>
  <c r="F59" i="3"/>
  <c r="F60" i="3"/>
  <c r="F62" i="3"/>
  <c r="F36" i="3" l="1"/>
  <c r="F39" i="3"/>
  <c r="F40" i="3"/>
  <c r="F53" i="3"/>
  <c r="F57" i="3"/>
  <c r="H57" i="3"/>
  <c r="H36" i="3" l="1"/>
  <c r="H39" i="3"/>
  <c r="H53" i="3" l="1"/>
  <c r="H52" i="3"/>
  <c r="H41" i="3" l="1"/>
  <c r="H40" i="3"/>
  <c r="C25" i="3" l="1" a="1"/>
  <c r="C25" i="3" s="1"/>
  <c r="K69" i="3" s="1"/>
  <c r="K70" i="3" l="1"/>
  <c r="F41" i="3"/>
  <c r="K68" i="3" l="1"/>
  <c r="F52" i="3"/>
  <c r="C24" i="3"/>
  <c r="C11" i="3" s="1"/>
  <c r="G85" i="3" l="1"/>
  <c r="C16" i="3"/>
  <c r="C13" i="3"/>
  <c r="C20" i="3"/>
  <c r="G84" i="3"/>
  <c r="C17" i="3"/>
  <c r="G77" i="3"/>
  <c r="C7" i="3"/>
  <c r="G70" i="3"/>
  <c r="C6" i="3"/>
  <c r="C5" i="3"/>
  <c r="C4" i="3"/>
  <c r="G72" i="3"/>
  <c r="G69" i="3"/>
  <c r="G71" i="3"/>
  <c r="G73" i="3"/>
  <c r="C8" i="3"/>
  <c r="G74" i="3"/>
  <c r="G82" i="3"/>
  <c r="G81" i="3"/>
  <c r="C15" i="3"/>
  <c r="C19" i="3"/>
  <c r="G86" i="3"/>
  <c r="G79" i="3"/>
  <c r="C18" i="3"/>
  <c r="G83" i="3"/>
  <c r="G80" i="3"/>
  <c r="C14" i="3"/>
  <c r="G68" i="3"/>
  <c r="C3" i="3"/>
  <c r="C12" i="3"/>
  <c r="C9" i="3"/>
  <c r="G75" i="3"/>
  <c r="C10" i="3"/>
  <c r="G76" i="3"/>
  <c r="G78" i="3"/>
  <c r="C2" i="3"/>
  <c r="G87" i="3" l="1"/>
  <c r="G88" i="3" s="1"/>
  <c r="G36" i="3" l="1"/>
  <c r="G37" i="3"/>
  <c r="E67" i="3"/>
  <c r="G41" i="3" s="1"/>
  <c r="G64" i="3"/>
  <c r="G47" i="3" l="1"/>
  <c r="G38" i="3"/>
  <c r="G48" i="3"/>
  <c r="G52" i="3"/>
  <c r="G45" i="3"/>
  <c r="G58" i="3"/>
  <c r="G30" i="3"/>
  <c r="E71" i="3" s="1"/>
  <c r="G42" i="3"/>
  <c r="G57" i="3"/>
  <c r="G56" i="3"/>
  <c r="G43" i="3"/>
  <c r="G33" i="3"/>
  <c r="G40" i="3"/>
  <c r="G62" i="3"/>
  <c r="G60" i="3"/>
  <c r="G55" i="3"/>
  <c r="G28" i="3"/>
  <c r="E69" i="3" s="1"/>
  <c r="G44" i="3"/>
  <c r="G35" i="3"/>
  <c r="G39" i="3"/>
  <c r="G31" i="3"/>
  <c r="E72" i="3" s="1"/>
  <c r="G63" i="3"/>
  <c r="E84" i="3" s="1"/>
  <c r="G32" i="3"/>
  <c r="G46" i="3"/>
  <c r="G61" i="3"/>
  <c r="G54" i="3"/>
  <c r="E79" i="3" s="1"/>
  <c r="G49" i="3"/>
  <c r="G59" i="3"/>
  <c r="G50" i="3"/>
  <c r="G53" i="3"/>
  <c r="E78" i="3" s="1"/>
  <c r="G29" i="3"/>
  <c r="E70" i="3" s="1"/>
  <c r="G51" i="3"/>
  <c r="G34" i="3"/>
  <c r="E74" i="3" l="1"/>
  <c r="E85" i="3"/>
  <c r="E82" i="3"/>
  <c r="E73" i="3"/>
  <c r="E77" i="3"/>
  <c r="E87" i="3" l="1"/>
  <c r="E88" i="3" s="1"/>
</calcChain>
</file>

<file path=xl/sharedStrings.xml><?xml version="1.0" encoding="utf-8"?>
<sst xmlns="http://schemas.openxmlformats.org/spreadsheetml/2006/main" count="136" uniqueCount="98">
  <si>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</si>
  <si>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</si>
  <si>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</si>
  <si>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</si>
  <si>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</si>
  <si>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</si>
  <si>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</si>
  <si>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</si>
  <si>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</si>
  <si>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</si>
  <si>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</si>
  <si>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</si>
  <si>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</si>
  <si>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</si>
  <si>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</si>
  <si>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</si>
  <si>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</si>
  <si>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</si>
  <si>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</si>
  <si>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</si>
  <si>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</si>
  <si>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</si>
  <si>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</si>
  <si>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</si>
  <si>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</si>
  <si>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</si>
  <si>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</si>
  <si>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</si>
  <si>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</si>
  <si>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</si>
  <si>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</si>
  <si>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</si>
  <si>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</si>
  <si>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</si>
  <si>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</si>
  <si>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</si>
  <si>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</si>
  <si>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</si>
  <si>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</si>
  <si>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</si>
  <si>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</si>
  <si>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</si>
  <si>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</si>
  <si>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</si>
  <si>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</si>
  <si>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</si>
  <si>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</si>
  <si>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</si>
  <si>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</si>
  <si>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</si>
  <si>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</si>
  <si>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</si>
  <si>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</si>
  <si>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</si>
  <si>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</si>
  <si>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</si>
  <si>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</si>
  <si>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</si>
  <si>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</si>
  <si>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</si>
  <si>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</si>
  <si>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</si>
  <si>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</si>
  <si>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</si>
  <si>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</si>
  <si>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</si>
  <si>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</si>
  <si>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</si>
  <si>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</si>
  <si>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</si>
  <si>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</si>
  <si>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</si>
  <si>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</si>
  <si>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</si>
  <si>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</si>
  <si>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</si>
  <si>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</si>
  <si>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</si>
  <si>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</si>
  <si>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</si>
  <si>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</si>
  <si>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</si>
  <si>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</si>
  <si>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</si>
  <si>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</si>
  <si>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</si>
  <si>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</si>
  <si>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</si>
  <si>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</si>
  <si>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</si>
  <si>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</si>
  <si>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</si>
  <si>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</si>
  <si>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</si>
  <si>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</si>
  <si>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Market</t>
  </si>
  <si>
    <t>000921</t>
  </si>
  <si>
    <t>Incomplete: 16500/17400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</si>
</sst>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25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2.3E-2</c:v>
                </c:pt>
                <c:pt idx="2">
                  <c:v>3.2000000000000001E-2</c:v>
                </c:pt>
                <c:pt idx="3">
                  <c:v>5.8999999999999997E-2</c:v>
                </c:pt>
                <c:pt idx="4">
                  <c:v>5.8000000000000003E-2</c:v>
                </c:pt>
                <c:pt idx="5">
                  <c:v>0.19400000000000001</c:v>
                </c:pt>
                <c:pt idx="6">
                  <c:v>9.4E-2</c:v>
                </c:pt>
                <c:pt idx="7">
                  <c:v>0</c:v>
                </c:pt>
                <c:pt idx="8">
                  <c:v>0</c:v>
                </c:pt>
                <c:pt idx="9">
                  <c:v>0.186</c:v>
                </c:pt>
                <c:pt idx="10">
                  <c:v>0.02</c:v>
                </c:pt>
                <c:pt idx="11">
                  <c:v>0.113</c:v>
                </c:pt>
                <c:pt idx="12">
                  <c:v>0</c:v>
                </c:pt>
                <c:pt idx="13">
                  <c:v>0</c:v>
                </c:pt>
                <c:pt idx="14">
                  <c:v>5.0999999999999997E-2</c:v>
                </c:pt>
                <c:pt idx="15">
                  <c:v>0</c:v>
                </c:pt>
                <c:pt idx="16">
                  <c:v>3.4000000000000002E-2</c:v>
                </c:pt>
                <c:pt idx="17">
                  <c:v>7.0000000000000001E-3</c:v>
                </c:pt>
                <c:pt idx="18">
                  <c:v>0</c:v>
                </c:pt>
                <c:pt idx="19">
                  <c:v>0.129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0.71636046431286515</c:v>
                </c:pt>
                <c:pt idx="1">
                  <c:v>0.23575483459200028</c:v>
                </c:pt>
                <c:pt idx="2">
                  <c:v>4.7884701095134527E-2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topLeftCell="A28" zoomScale="120" zoomScaleNormal="120" workbookViewId="0">
      <selection activeCell="I36" sqref="I36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8" customWidth="1"/>
    <col min="11" max="11" width="13.42578125" style="9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9" t="s">
        <v>0</v>
      </c>
      <c r="B1" s="109"/>
      <c r="C1" s="12">
        <v>45419</v>
      </c>
      <c r="E1" s="14"/>
      <c r="F1" s="14"/>
      <c r="G1" s="43"/>
      <c r="H1" s="14"/>
      <c r="J1" s="65"/>
      <c r="K1" s="79"/>
    </row>
    <row r="2" spans="1:12" s="13" customFormat="1" x14ac:dyDescent="0.25">
      <c r="A2" s="109" t="s">
        <v>10</v>
      </c>
      <c r="B2" s="109"/>
      <c r="C2" s="15">
        <f>C25/C24</f>
        <v>4.8410347008827594</v>
      </c>
      <c r="D2"/>
      <c r="E2" s="23"/>
      <c r="F2" s="17"/>
      <c r="G2" s="17"/>
      <c r="H2" s="16"/>
      <c r="J2" s="65"/>
      <c r="K2" s="79"/>
    </row>
    <row r="3" spans="1:12" s="13" customFormat="1" x14ac:dyDescent="0.25">
      <c r="A3" s="111" t="s">
        <v>76</v>
      </c>
      <c r="B3" s="112"/>
      <c r="C3" s="15">
        <f>SUM(0)/C24</f>
        <v>0</v>
      </c>
      <c r="D3"/>
      <c r="E3" s="23"/>
      <c r="F3" s="17"/>
      <c r="G3" s="17"/>
      <c r="H3" s="16"/>
      <c r="J3" s="65"/>
      <c r="K3" s="79"/>
    </row>
    <row r="4" spans="1:12" s="13" customFormat="1" x14ac:dyDescent="0.25">
      <c r="A4" s="56" t="s">
        <v>52</v>
      </c>
      <c r="B4" s="57"/>
      <c r="C4" s="15">
        <f>SUM(H28:H28)/C24</f>
        <v>0.13041445247442479</v>
      </c>
      <c r="D4"/>
      <c r="E4" s="23"/>
      <c r="F4" s="17"/>
      <c r="G4" s="17"/>
      <c r="H4" s="16"/>
      <c r="J4" s="65"/>
      <c r="K4" s="79"/>
    </row>
    <row r="5" spans="1:12" s="13" customFormat="1" x14ac:dyDescent="0.25">
      <c r="A5" s="56" t="s">
        <v>86</v>
      </c>
      <c r="B5" s="57"/>
      <c r="C5" s="15">
        <f>SUM(H30:H30)/C24</f>
        <v>0.32757970974424977</v>
      </c>
      <c r="D5"/>
      <c r="E5" s="23"/>
      <c r="F5" s="17"/>
      <c r="G5" s="17"/>
      <c r="H5" s="16"/>
      <c r="J5" s="65"/>
      <c r="K5" s="79"/>
    </row>
    <row r="6" spans="1:12" s="13" customFormat="1" x14ac:dyDescent="0.25">
      <c r="A6" s="56" t="s">
        <v>87</v>
      </c>
      <c r="B6" s="57"/>
      <c r="C6" s="15">
        <f>SUM(H31:H31)/C24</f>
        <v>0.3246217557696448</v>
      </c>
      <c r="D6"/>
      <c r="E6" s="23"/>
      <c r="F6" s="17"/>
      <c r="G6" s="17"/>
      <c r="H6" s="16"/>
      <c r="J6" s="65"/>
      <c r="K6" s="79"/>
    </row>
    <row r="7" spans="1:12" s="13" customFormat="1" x14ac:dyDescent="0.25">
      <c r="A7" s="56" t="s">
        <v>46</v>
      </c>
      <c r="B7" s="57"/>
      <c r="C7" s="15">
        <f>SUM(H32:H33)/C24</f>
        <v>1.0746526621090677</v>
      </c>
      <c r="D7"/>
      <c r="E7" s="23"/>
      <c r="F7" s="17"/>
      <c r="G7" s="17"/>
      <c r="H7" s="16"/>
      <c r="J7" s="65"/>
      <c r="K7" s="79"/>
    </row>
    <row r="8" spans="1:12" s="13" customFormat="1" x14ac:dyDescent="0.25">
      <c r="A8" s="111" t="s">
        <v>80</v>
      </c>
      <c r="B8" s="112"/>
      <c r="C8" s="15">
        <f>SUM(H34:H35)/C24</f>
        <v>0.5222913275035912</v>
      </c>
      <c r="D8"/>
      <c r="E8" s="23"/>
      <c r="F8" s="17"/>
      <c r="G8" s="17"/>
      <c r="H8" s="16"/>
      <c r="J8" s="65"/>
      <c r="K8" s="79"/>
    </row>
    <row r="9" spans="1:12" s="13" customFormat="1" x14ac:dyDescent="0.25">
      <c r="A9" s="56" t="s">
        <v>77</v>
      </c>
      <c r="B9" s="57"/>
      <c r="C9" s="15">
        <f>SUM(0)/C24</f>
        <v>0</v>
      </c>
      <c r="D9"/>
      <c r="E9" s="23"/>
      <c r="F9" s="17"/>
      <c r="G9" s="17"/>
      <c r="H9" s="16"/>
      <c r="J9" s="65"/>
      <c r="K9" s="79"/>
    </row>
    <row r="10" spans="1:12" s="13" customFormat="1" x14ac:dyDescent="0.25">
      <c r="A10" s="56" t="s">
        <v>78</v>
      </c>
      <c r="B10" s="57"/>
      <c r="C10" s="15">
        <f>SUM(0)/C24</f>
        <v>0</v>
      </c>
      <c r="D10"/>
      <c r="E10" s="23"/>
      <c r="F10" s="17"/>
      <c r="G10" s="17"/>
      <c r="H10" s="16"/>
      <c r="J10" s="65"/>
      <c r="K10" s="79"/>
      <c r="L10" s="63"/>
    </row>
    <row r="11" spans="1:12" s="13" customFormat="1" x14ac:dyDescent="0.25">
      <c r="A11" s="111" t="s">
        <v>39</v>
      </c>
      <c r="B11" s="112"/>
      <c r="C11" s="15">
        <f>SUM(H36:H52)/C24</f>
        <v>1.0326123149629232</v>
      </c>
      <c r="D11"/>
      <c r="E11" s="23"/>
      <c r="F11" s="17"/>
      <c r="G11" s="17"/>
      <c r="H11" s="16"/>
      <c r="J11" s="65"/>
      <c r="K11" s="79"/>
      <c r="L11" s="36"/>
    </row>
    <row r="12" spans="1:12" s="13" customFormat="1" x14ac:dyDescent="0.25">
      <c r="A12" s="111" t="s">
        <v>60</v>
      </c>
      <c r="B12" s="112"/>
      <c r="C12" s="15">
        <f>SUM(H53:H53)/C24</f>
        <v>0.10868502019782535</v>
      </c>
      <c r="D12"/>
      <c r="E12" s="23"/>
      <c r="F12" s="17"/>
      <c r="G12" s="17"/>
      <c r="H12" s="16"/>
      <c r="J12" s="65"/>
      <c r="K12" s="79"/>
    </row>
    <row r="13" spans="1:12" s="13" customFormat="1" x14ac:dyDescent="0.25">
      <c r="A13" s="111" t="s">
        <v>68</v>
      </c>
      <c r="B13" s="112"/>
      <c r="C13" s="15">
        <f>SUM(H54:H54)/C24</f>
        <v>0.62844327707118397</v>
      </c>
      <c r="D13"/>
      <c r="E13" s="23"/>
      <c r="F13" s="17"/>
      <c r="G13" s="17"/>
      <c r="H13" s="16"/>
      <c r="J13" s="65"/>
      <c r="K13" s="79"/>
    </row>
    <row r="14" spans="1:12" s="13" customFormat="1" x14ac:dyDescent="0.25">
      <c r="A14" s="56" t="s">
        <v>79</v>
      </c>
      <c r="B14" s="57"/>
      <c r="C14" s="15">
        <f>SUM(0)/C24</f>
        <v>0</v>
      </c>
      <c r="D14"/>
      <c r="E14" s="23"/>
      <c r="F14" s="17"/>
      <c r="G14" s="17"/>
      <c r="H14" s="16"/>
      <c r="J14" s="65"/>
      <c r="K14" s="79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5"/>
      <c r="K15" s="79"/>
    </row>
    <row r="16" spans="1:12" s="13" customFormat="1" x14ac:dyDescent="0.25">
      <c r="A16" s="111" t="s">
        <v>26</v>
      </c>
      <c r="B16" s="112"/>
      <c r="C16" s="15">
        <f>SUM(H55:H56)/C24</f>
        <v>4.050715855165455E-2</v>
      </c>
      <c r="D16"/>
      <c r="E16" s="23"/>
      <c r="F16" s="17"/>
      <c r="G16" s="17"/>
      <c r="H16" s="16"/>
      <c r="J16" s="65"/>
      <c r="K16" s="79"/>
    </row>
    <row r="17" spans="1:17" s="13" customFormat="1" x14ac:dyDescent="0.25">
      <c r="A17" s="111" t="s">
        <v>25</v>
      </c>
      <c r="B17" s="112"/>
      <c r="C17" s="15">
        <f>SUM(H57:H62)/C24</f>
        <v>0.28064222672936401</v>
      </c>
      <c r="D17"/>
      <c r="E17" s="23"/>
      <c r="F17" s="17"/>
      <c r="G17" s="17"/>
      <c r="H17" s="16"/>
      <c r="J17" s="65"/>
      <c r="K17" s="79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5"/>
      <c r="K18" s="79"/>
    </row>
    <row r="19" spans="1:17" s="13" customFormat="1" ht="27.75" customHeight="1" x14ac:dyDescent="0.25">
      <c r="A19" s="110" t="s">
        <v>37</v>
      </c>
      <c r="B19" s="110"/>
      <c r="C19" s="15">
        <f>SUM(0)/C24</f>
        <v>0</v>
      </c>
      <c r="D19" s="22"/>
      <c r="E19" s="16"/>
      <c r="F19" s="17"/>
      <c r="G19" s="17"/>
      <c r="H19" s="16"/>
      <c r="J19" s="65"/>
      <c r="K19" s="79"/>
    </row>
    <row r="20" spans="1:17" s="13" customFormat="1" x14ac:dyDescent="0.25">
      <c r="A20" s="111" t="s">
        <v>38</v>
      </c>
      <c r="B20" s="112"/>
      <c r="C20" s="15">
        <f>SUM(H63:H64)/C24</f>
        <v>0.19130434109129038</v>
      </c>
      <c r="D20"/>
      <c r="E20" s="23"/>
      <c r="F20" s="17"/>
      <c r="G20" s="17"/>
      <c r="H20" s="16"/>
      <c r="J20" s="65"/>
      <c r="K20" s="79"/>
    </row>
    <row r="21" spans="1:17" s="13" customFormat="1" ht="12.75" x14ac:dyDescent="0.25">
      <c r="A21" s="109" t="s">
        <v>8</v>
      </c>
      <c r="B21" s="109"/>
      <c r="C21" s="18">
        <v>51000540</v>
      </c>
      <c r="D21" s="24"/>
      <c r="E21" s="17"/>
      <c r="F21" s="17"/>
      <c r="G21" s="17"/>
      <c r="H21" s="16"/>
      <c r="J21" s="65"/>
      <c r="K21" s="79"/>
    </row>
    <row r="22" spans="1:17" s="13" customFormat="1" ht="12.75" x14ac:dyDescent="0.25">
      <c r="A22" s="109" t="s">
        <v>6</v>
      </c>
      <c r="B22" s="109"/>
      <c r="C22" s="18">
        <v>0</v>
      </c>
      <c r="F22" s="17"/>
      <c r="H22" s="36"/>
      <c r="J22" s="65"/>
      <c r="K22" s="79"/>
    </row>
    <row r="23" spans="1:17" s="13" customFormat="1" ht="12.75" x14ac:dyDescent="0.25">
      <c r="A23" s="109" t="s">
        <v>7</v>
      </c>
      <c r="B23" s="109"/>
      <c r="C23" s="18">
        <v>0</v>
      </c>
      <c r="D23" s="21"/>
      <c r="E23" s="17"/>
      <c r="F23" s="17"/>
      <c r="G23" s="17"/>
      <c r="H23" s="16"/>
      <c r="J23" s="65"/>
      <c r="K23" s="79"/>
    </row>
    <row r="24" spans="1:17" s="13" customFormat="1" ht="12.75" x14ac:dyDescent="0.25">
      <c r="A24" s="109" t="s">
        <v>9</v>
      </c>
      <c r="B24" s="109"/>
      <c r="C24" s="18">
        <f>C21+C22-C23</f>
        <v>51000540</v>
      </c>
      <c r="D24" s="21"/>
      <c r="E24" s="17"/>
      <c r="F24" s="17"/>
      <c r="G24" s="17"/>
      <c r="H24" s="16"/>
      <c r="J24" s="65"/>
      <c r="K24" s="79"/>
    </row>
    <row r="25" spans="1:17" s="13" customFormat="1" ht="27.75" customHeight="1" x14ac:dyDescent="0.25">
      <c r="A25" s="110" t="s">
        <v>5</v>
      </c>
      <c r="B25" s="110"/>
      <c r="C25" s="11">
        <f t="array" ref="C25">SUM(ABS(Table132[Target allocation ($)]))</f>
        <v>246895383.90375921</v>
      </c>
      <c r="D25" s="21" t="s">
        <v>22</v>
      </c>
      <c r="E25" s="17"/>
      <c r="F25" s="17"/>
      <c r="G25" s="17"/>
      <c r="H25" s="16"/>
      <c r="J25" s="65"/>
      <c r="K25" s="79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6"/>
      <c r="K26" s="79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2" t="s">
        <v>63</v>
      </c>
      <c r="K27" s="92" t="s">
        <v>64</v>
      </c>
    </row>
    <row r="28" spans="1:17" x14ac:dyDescent="0.25">
      <c r="A28" s="44" t="s">
        <v>66</v>
      </c>
      <c r="B28" s="34" t="s">
        <v>14</v>
      </c>
      <c r="C28" s="93">
        <v>141.5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2.3490000000000002</v>
      </c>
      <c r="H28" s="39">
        <f>Table132[[#This Row],[New position]]*Table132[[#This Row],[Last_Price]]</f>
        <v>6651207.5</v>
      </c>
      <c r="I28" s="97"/>
      <c r="J28" s="94"/>
      <c r="K28" s="94"/>
      <c r="L28"/>
      <c r="M28"/>
      <c r="N28"/>
      <c r="O28"/>
      <c r="P28"/>
      <c r="Q28"/>
    </row>
    <row r="29" spans="1:17" x14ac:dyDescent="0.25">
      <c r="A29" s="44" t="s">
        <v>89</v>
      </c>
      <c r="B29" s="34" t="s">
        <v>14</v>
      </c>
      <c r="C29" s="93">
        <v>93.3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3.2290000000000001</v>
      </c>
      <c r="H29" s="39">
        <f>Table132[[#This Row],[New position]]*Table132[[#This Row],[Last_Price]]</f>
        <v>9143400</v>
      </c>
      <c r="I29" s="97"/>
      <c r="J29" s="94"/>
      <c r="K29" s="94"/>
      <c r="L29"/>
      <c r="M29"/>
      <c r="N29"/>
      <c r="O29"/>
      <c r="P29"/>
      <c r="Q29"/>
    </row>
    <row r="30" spans="1:17" x14ac:dyDescent="0.25">
      <c r="A30" s="44" t="s">
        <v>82</v>
      </c>
      <c r="B30" s="44" t="s">
        <v>14</v>
      </c>
      <c r="C30" s="93">
        <v>41.07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5.9</v>
      </c>
      <c r="H30" s="39">
        <f>Table132[[#This Row],[New position]]*Table132[[#This Row],[Last_Price]]</f>
        <v>16706742.09</v>
      </c>
      <c r="I30" s="105"/>
      <c r="J30" s="94"/>
      <c r="K30" s="94"/>
      <c r="L30"/>
      <c r="M30"/>
      <c r="N30"/>
      <c r="O30"/>
      <c r="P30"/>
      <c r="Q30"/>
    </row>
    <row r="31" spans="1:17" x14ac:dyDescent="0.25">
      <c r="A31" s="34" t="s">
        <v>83</v>
      </c>
      <c r="B31" s="34" t="s">
        <v>14</v>
      </c>
      <c r="C31" s="93">
        <v>204.93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5.8470000000000004</v>
      </c>
      <c r="H31" s="39">
        <f>Table132[[#This Row],[New position]]*Table132[[#This Row],[Last_Price]]</f>
        <v>16555884.84</v>
      </c>
      <c r="I31" s="105"/>
      <c r="J31" s="94"/>
      <c r="K31" s="94"/>
      <c r="L31"/>
      <c r="M31"/>
      <c r="N31"/>
      <c r="O31"/>
      <c r="P31"/>
      <c r="Q31"/>
    </row>
    <row r="32" spans="1:17" x14ac:dyDescent="0.25">
      <c r="A32" s="44" t="s">
        <v>65</v>
      </c>
      <c r="B32" s="44" t="s">
        <v>14</v>
      </c>
      <c r="C32" s="93">
        <v>222.12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16.353999999999999</v>
      </c>
      <c r="H32" s="39">
        <f>Table132[[#This Row],[New position]]*Table132[[#This Row],[Last_Price]]</f>
        <v>46308466.079999998</v>
      </c>
      <c r="I32" s="27"/>
      <c r="J32" s="94"/>
      <c r="K32" s="94"/>
      <c r="L32"/>
      <c r="M32"/>
      <c r="N32"/>
      <c r="O32"/>
      <c r="P32"/>
      <c r="Q32"/>
    </row>
    <row r="33" spans="1:17" x14ac:dyDescent="0.25">
      <c r="A33" s="44" t="s">
        <v>81</v>
      </c>
      <c r="B33" s="44" t="s">
        <v>14</v>
      </c>
      <c r="C33" s="93">
        <v>910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3.0019999999999998</v>
      </c>
      <c r="H33" s="39">
        <f>Table132[[#This Row],[New position]]*Table132[[#This Row],[Last_Price]]</f>
        <v>8499400</v>
      </c>
      <c r="I33" s="104"/>
      <c r="J33" s="94"/>
      <c r="K33" s="94"/>
      <c r="L33"/>
      <c r="M33"/>
      <c r="N33"/>
      <c r="O33"/>
      <c r="P33"/>
      <c r="Q33"/>
    </row>
    <row r="34" spans="1:17" x14ac:dyDescent="0.25">
      <c r="A34" s="44" t="s">
        <v>74</v>
      </c>
      <c r="B34" s="34" t="s">
        <v>14</v>
      </c>
      <c r="C34" s="93">
        <v>55.15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5.2030000000000003</v>
      </c>
      <c r="H34" s="39">
        <f>Table132[[#This Row],[New position]]*Table132[[#This Row],[Last_Price]]</f>
        <v>14732660.699999999</v>
      </c>
      <c r="I34" s="104"/>
      <c r="J34" s="94"/>
      <c r="K34" s="94"/>
      <c r="L34"/>
      <c r="M34"/>
      <c r="N34"/>
      <c r="O34"/>
      <c r="P34"/>
      <c r="Q34"/>
    </row>
    <row r="35" spans="1:17" x14ac:dyDescent="0.25">
      <c r="A35" s="44" t="s">
        <v>75</v>
      </c>
      <c r="B35" s="44" t="s">
        <v>14</v>
      </c>
      <c r="C35" s="93">
        <v>204.46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4.2039999999999997</v>
      </c>
      <c r="H35" s="39">
        <f>Table132[[#This Row],[New position]]*Table132[[#This Row],[Last_Price]]</f>
        <v>11904479.040000001</v>
      </c>
      <c r="I35" s="104"/>
      <c r="J35" s="94"/>
      <c r="K35" s="94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245.72538141470201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7.8E-2</v>
      </c>
      <c r="H36" s="39">
        <f>Table132[[#This Row],[New position]]*Table132[[#This Row],[Last_Price]]</f>
        <v>221152.84327323182</v>
      </c>
      <c r="I36" s="52"/>
      <c r="J36" s="94"/>
      <c r="K36" s="95"/>
      <c r="L36"/>
      <c r="M36"/>
      <c r="N36"/>
      <c r="O36"/>
      <c r="P36"/>
      <c r="Q36"/>
    </row>
    <row r="37" spans="1:17" x14ac:dyDescent="0.25">
      <c r="A37" s="34">
        <v>600690</v>
      </c>
      <c r="B37" s="34" t="s">
        <v>14</v>
      </c>
      <c r="C37" s="46">
        <v>4.4400000000000004</v>
      </c>
      <c r="D37" s="34">
        <v>0</v>
      </c>
      <c r="E37" s="34">
        <v>22600</v>
      </c>
      <c r="F37" s="33">
        <f>ROUND(Table132[[#This Row],[New position]]-Table132[[#This Row],[Old position]], -2)</f>
        <v>22600</v>
      </c>
      <c r="G37" s="34">
        <f>ROUND(Table132[[#This Row],[Target allocation ($)]]/(IF(G88&gt;0, G67,E67)*C24)*100,3)</f>
        <v>3.5000000000000003E-2</v>
      </c>
      <c r="H37" s="39">
        <f>Table132[[#This Row],[New position]]*Table132[[#This Row],[Last_Price]]</f>
        <v>100344.00000000001</v>
      </c>
      <c r="I37" s="52"/>
      <c r="J37" s="94" t="s">
        <v>95</v>
      </c>
      <c r="K37" s="95">
        <v>4.43</v>
      </c>
      <c r="L37"/>
      <c r="M37"/>
      <c r="N37"/>
      <c r="O37"/>
      <c r="P37"/>
      <c r="Q37"/>
    </row>
    <row r="38" spans="1:17" x14ac:dyDescent="0.25">
      <c r="A38" s="108" t="s">
        <v>96</v>
      </c>
      <c r="B38" s="44" t="s">
        <v>14</v>
      </c>
      <c r="C38" s="46">
        <v>5.73</v>
      </c>
      <c r="D38" s="34">
        <v>17600</v>
      </c>
      <c r="E38" s="34">
        <v>35000</v>
      </c>
      <c r="F38" s="33">
        <f>Table132[[#This Row],[New position]]-Table132[[#This Row],[Old position]]</f>
        <v>17400</v>
      </c>
      <c r="G38" s="34">
        <f>ROUND(Table132[[#This Row],[Target allocation ($)]]/(IF(G88&gt;0, G67,E67)*C24)*100,3)</f>
        <v>7.0999999999999994E-2</v>
      </c>
      <c r="H38" s="39">
        <f>Table132[[#This Row],[New position]]*Table132[[#This Row],[Last_Price]]</f>
        <v>200550.00000000003</v>
      </c>
      <c r="I38" s="27" t="s">
        <v>97</v>
      </c>
      <c r="J38" s="94" t="s">
        <v>95</v>
      </c>
      <c r="K38" s="95">
        <v>5.7</v>
      </c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46.700767263427103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0.252</v>
      </c>
      <c r="H39" s="39">
        <f>Table132[[#This Row],[New position]]*Table132[[#This Row],[Last_Price]]</f>
        <v>714521.7391304347</v>
      </c>
      <c r="I39" s="52"/>
      <c r="J39" s="94"/>
      <c r="K39" s="94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9.9552429667519196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7.6999999999999999E-2</v>
      </c>
      <c r="H40" s="39">
        <f>Table132[[#This Row],[New position]]*Table132[[#This Row],[Last_Price]]</f>
        <v>219015.34526854224</v>
      </c>
      <c r="I40" s="27"/>
      <c r="J40" s="94"/>
      <c r="K40" s="94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3">
        <v>13.810741687979499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7.5999999999999998E-2</v>
      </c>
      <c r="H41" s="39">
        <f>Table132[[#This Row],[New position]]*Table132[[#This Row],[Last_Price]]</f>
        <v>215447.57033248019</v>
      </c>
      <c r="I41" s="27"/>
      <c r="J41" s="94"/>
      <c r="K41" s="94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3">
        <v>0.92583120204603597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0.878</v>
      </c>
      <c r="H42" s="39">
        <f>Table132[[#This Row],[New position]]*Table132[[#This Row],[Last_Price]]</f>
        <v>2484930.9462915608</v>
      </c>
      <c r="I42" s="59"/>
      <c r="J42" s="94"/>
      <c r="K42" s="95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3">
        <v>2.5345268542199499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2.2930000000000001</v>
      </c>
      <c r="H43" s="39">
        <f>Table132[[#This Row],[New position]]*Table132[[#This Row],[Last_Price]]</f>
        <v>6493457.800511512</v>
      </c>
      <c r="I43" s="59"/>
      <c r="J43" s="94"/>
      <c r="K43" s="94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3">
        <v>8.4450127877237904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1.56</v>
      </c>
      <c r="H44" s="39">
        <f>Table132[[#This Row],[New position]]*Table132[[#This Row],[Last_Price]]</f>
        <v>4416741.6879795427</v>
      </c>
      <c r="I44" s="59"/>
      <c r="J44" s="94"/>
      <c r="K44" s="94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3">
        <v>1.6726342710997399</v>
      </c>
      <c r="D45" s="34">
        <v>169900</v>
      </c>
      <c r="E45" s="34">
        <v>169900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0.1</v>
      </c>
      <c r="H45" s="39">
        <f>Table132[[#This Row],[New position]]*Table132[[#This Row],[Last_Price]]</f>
        <v>284180.5626598458</v>
      </c>
      <c r="I45" s="59"/>
      <c r="J45" s="94"/>
      <c r="K45" s="94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3">
        <v>12.020460358056299</v>
      </c>
      <c r="D46" s="34">
        <v>104800</v>
      </c>
      <c r="E46" s="34">
        <v>104800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0.44500000000000001</v>
      </c>
      <c r="H46" s="39">
        <f>Table132[[#This Row],[New position]]*Table132[[#This Row],[Last_Price]]</f>
        <v>1259744.2455243003</v>
      </c>
      <c r="I46" s="59"/>
      <c r="J46" s="94"/>
      <c r="K46" s="94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3">
        <v>0.45012787723785203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0.37</v>
      </c>
      <c r="H47" s="39">
        <f>Table132[[#This Row],[New position]]*Table132[[#This Row],[Last_Price]]</f>
        <v>1046547.3145780059</v>
      </c>
      <c r="I47" s="59"/>
      <c r="J47" s="94"/>
      <c r="K47" s="94"/>
      <c r="L47"/>
      <c r="N47"/>
      <c r="O47"/>
      <c r="P47"/>
      <c r="Q47"/>
    </row>
    <row r="48" spans="1:17" x14ac:dyDescent="0.25">
      <c r="A48" s="34">
        <v>921</v>
      </c>
      <c r="B48" s="34" t="s">
        <v>14</v>
      </c>
      <c r="C48" s="93">
        <v>4.5396419437340096</v>
      </c>
      <c r="D48" s="34">
        <v>24000</v>
      </c>
      <c r="E48" s="34">
        <v>24000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3.7999999999999999E-2</v>
      </c>
      <c r="H48" s="39">
        <f>Table132[[#This Row],[New position]]*Table132[[#This Row],[Last_Price]]</f>
        <v>108951.40664961623</v>
      </c>
      <c r="I48" s="59"/>
      <c r="J48" s="94"/>
      <c r="K48" s="94"/>
      <c r="L48"/>
      <c r="N48"/>
      <c r="O48"/>
      <c r="P48"/>
      <c r="Q48"/>
    </row>
    <row r="49" spans="1:17" x14ac:dyDescent="0.25">
      <c r="A49" s="34">
        <v>2899</v>
      </c>
      <c r="B49" s="34" t="s">
        <v>14</v>
      </c>
      <c r="C49" s="93">
        <v>2.2122762148337598</v>
      </c>
      <c r="D49" s="34">
        <v>1022000</v>
      </c>
      <c r="E49" s="34">
        <v>1022000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0.79800000000000004</v>
      </c>
      <c r="H49" s="39">
        <f>Table132[[#This Row],[New position]]*Table132[[#This Row],[Last_Price]]</f>
        <v>2260946.2915601027</v>
      </c>
      <c r="I49" s="27"/>
      <c r="J49" s="94"/>
      <c r="K49" s="94"/>
      <c r="L49"/>
      <c r="N49"/>
      <c r="O49"/>
      <c r="P49"/>
      <c r="Q49"/>
    </row>
    <row r="50" spans="1:17" x14ac:dyDescent="0.25">
      <c r="A50" s="34" t="s">
        <v>62</v>
      </c>
      <c r="B50" s="34" t="s">
        <v>14</v>
      </c>
      <c r="C50" s="93">
        <v>44.7</v>
      </c>
      <c r="D50" s="34">
        <v>191673</v>
      </c>
      <c r="E50" s="34">
        <v>191673</v>
      </c>
      <c r="F50" s="33">
        <f>Table132[[#This Row],[New position]]-Table132[[#This Row],[Old position]]</f>
        <v>0</v>
      </c>
      <c r="G50" s="34">
        <f>ROUND(Table132[[#This Row],[Target allocation ($)]]/(IF(G88&gt;0, G67,E67)*C24)*100,3)</f>
        <v>3.0259999999999998</v>
      </c>
      <c r="H50" s="39">
        <f>Table132[[#This Row],[New position]]*Table132[[#This Row],[Last_Price]]</f>
        <v>8567783.0999999996</v>
      </c>
      <c r="I50" s="64"/>
      <c r="J50" s="94"/>
      <c r="K50" s="96"/>
      <c r="L50"/>
      <c r="M50"/>
      <c r="N50"/>
      <c r="O50"/>
      <c r="P50"/>
      <c r="Q50"/>
    </row>
    <row r="51" spans="1:17" x14ac:dyDescent="0.25">
      <c r="A51" s="34" t="s">
        <v>91</v>
      </c>
      <c r="B51" s="34" t="s">
        <v>14</v>
      </c>
      <c r="C51" s="46">
        <v>37.380000000000003</v>
      </c>
      <c r="D51" s="34">
        <v>80000</v>
      </c>
      <c r="E51" s="34">
        <v>80000</v>
      </c>
      <c r="F51" s="33">
        <f>Table132[[#This Row],[New position]]-Table132[[#This Row],[Old position]]</f>
        <v>0</v>
      </c>
      <c r="G51" s="34">
        <f>ROUND(Table132[[#This Row],[Target allocation ($)]]/(IF(G88&gt;0, G67,E67)*C24)*100,3)</f>
        <v>1.056</v>
      </c>
      <c r="H51" s="39">
        <f>Table132[[#This Row],[New position]]*Table132[[#This Row],[Last_Price]]</f>
        <v>2990400</v>
      </c>
      <c r="I51" s="59"/>
      <c r="J51" s="94"/>
      <c r="K51" s="95"/>
      <c r="L51"/>
      <c r="M51"/>
      <c r="N51"/>
      <c r="O51"/>
      <c r="P51"/>
      <c r="Q51"/>
    </row>
    <row r="52" spans="1:17" x14ac:dyDescent="0.25">
      <c r="A52" s="34" t="s">
        <v>57</v>
      </c>
      <c r="B52" s="34" t="s">
        <v>14</v>
      </c>
      <c r="C52" s="93">
        <v>65.739999999999995</v>
      </c>
      <c r="D52" s="34">
        <v>320643</v>
      </c>
      <c r="E52" s="34">
        <v>320643</v>
      </c>
      <c r="F52" s="33">
        <f>Table132[[#This Row],[New position]]-Table132[[#This Row],[Old position]]</f>
        <v>0</v>
      </c>
      <c r="G52" s="34">
        <f>ROUND(Table132[[#This Row],[Target allocation ($)]]/(IF(G88&gt;0, G67,E67)*C24)*100,3)</f>
        <v>7.444</v>
      </c>
      <c r="H52" s="39">
        <f>Table132[[#This Row],[New position]]*Table132[[#This Row],[Last_Price]]</f>
        <v>21079070.819999997</v>
      </c>
      <c r="I52" s="27"/>
      <c r="J52" s="94"/>
      <c r="K52" s="94"/>
      <c r="L52"/>
      <c r="M52"/>
      <c r="N52"/>
      <c r="O52"/>
      <c r="P52"/>
      <c r="Q52"/>
    </row>
    <row r="53" spans="1:17" x14ac:dyDescent="0.25">
      <c r="A53" s="44" t="s">
        <v>58</v>
      </c>
      <c r="B53" s="34" t="s">
        <v>14</v>
      </c>
      <c r="C53" s="46">
        <v>109.58</v>
      </c>
      <c r="D53" s="34">
        <v>50584</v>
      </c>
      <c r="E53" s="34">
        <v>50584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1.958</v>
      </c>
      <c r="H53" s="39">
        <f>Table132[[#This Row],[New position]]*Table132[[#This Row],[Last_Price]]</f>
        <v>5542994.7199999997</v>
      </c>
      <c r="I53" s="49"/>
      <c r="J53" s="94"/>
      <c r="K53" s="94"/>
      <c r="L53"/>
      <c r="M53"/>
      <c r="N53"/>
      <c r="O53"/>
      <c r="P53"/>
      <c r="Q53"/>
    </row>
    <row r="54" spans="1:17" x14ac:dyDescent="0.25">
      <c r="A54" s="44" t="s">
        <v>11</v>
      </c>
      <c r="B54" s="34" t="s">
        <v>14</v>
      </c>
      <c r="C54" s="46">
        <v>439.59</v>
      </c>
      <c r="D54" s="34">
        <v>72911</v>
      </c>
      <c r="E54" s="34">
        <v>72911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11.319000000000001</v>
      </c>
      <c r="H54" s="39">
        <f>Table132[[#This Row],[New position]]*Table132[[#This Row],[Last_Price]]</f>
        <v>32050946.489999998</v>
      </c>
      <c r="I54" s="98"/>
      <c r="J54" s="94"/>
      <c r="K54" s="94"/>
      <c r="L54"/>
      <c r="M54"/>
      <c r="N54"/>
      <c r="O54"/>
      <c r="P54"/>
      <c r="Q54"/>
    </row>
    <row r="55" spans="1:17" x14ac:dyDescent="0.25">
      <c r="A55" s="44" t="s">
        <v>31</v>
      </c>
      <c r="B55" s="34" t="s">
        <v>14</v>
      </c>
      <c r="C55" s="46">
        <v>55.48</v>
      </c>
      <c r="D55" s="34">
        <v>27428</v>
      </c>
      <c r="E55" s="34">
        <v>27428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0.53700000000000003</v>
      </c>
      <c r="H55" s="39">
        <f>Table132[[#This Row],[New position]]*Table132[[#This Row],[Last_Price]]</f>
        <v>1521705.44</v>
      </c>
      <c r="I55" s="99"/>
      <c r="J55" s="94"/>
      <c r="K55" s="94"/>
      <c r="L55"/>
      <c r="M55"/>
      <c r="N55"/>
      <c r="O55"/>
      <c r="P55"/>
      <c r="Q55"/>
    </row>
    <row r="56" spans="1:17" x14ac:dyDescent="0.25">
      <c r="A56" s="44" t="s">
        <v>94</v>
      </c>
      <c r="B56" s="34" t="s">
        <v>14</v>
      </c>
      <c r="C56" s="46">
        <v>23.78</v>
      </c>
      <c r="D56" s="34">
        <v>22884</v>
      </c>
      <c r="E56" s="34">
        <v>22884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0.192</v>
      </c>
      <c r="H56" s="39">
        <f>Table132[[#This Row],[New position]]*Table132[[#This Row],[Last_Price]]</f>
        <v>544181.52</v>
      </c>
      <c r="I56" s="107"/>
      <c r="J56" s="94"/>
      <c r="K56" s="94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79.39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1.018</v>
      </c>
      <c r="H57" s="39">
        <f>Table132[[#This Row],[New position]]*Table132[[#This Row],[Last_Price]]</f>
        <v>2882809.68</v>
      </c>
      <c r="I57" s="26"/>
      <c r="J57" s="96"/>
      <c r="K57" s="94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71.83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0.97299999999999998</v>
      </c>
      <c r="H58" s="39">
        <f>Table132[[#This Row],[New position]]*Table132[[#This Row],[Last_Price]]</f>
        <v>2754680.5</v>
      </c>
      <c r="I58" s="26"/>
      <c r="J58" s="96"/>
      <c r="K58" s="96"/>
      <c r="L58"/>
      <c r="M58"/>
      <c r="N58"/>
      <c r="O58"/>
      <c r="P58"/>
      <c r="Q58"/>
    </row>
    <row r="59" spans="1:17" x14ac:dyDescent="0.25">
      <c r="A59" s="44" t="s">
        <v>42</v>
      </c>
      <c r="B59" s="44" t="s">
        <v>14</v>
      </c>
      <c r="C59" s="46">
        <v>106.7</v>
      </c>
      <c r="D59" s="34">
        <v>26725</v>
      </c>
      <c r="E59" s="34">
        <v>26725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1.0069999999999999</v>
      </c>
      <c r="H59" s="39">
        <f>Table132[[#This Row],[New position]]*Table132[[#This Row],[Last_Price]]</f>
        <v>2851557.5</v>
      </c>
      <c r="I59" s="53"/>
      <c r="J59" s="96"/>
      <c r="K59" s="95"/>
      <c r="L59"/>
      <c r="M59"/>
      <c r="N59"/>
      <c r="O59"/>
      <c r="P59"/>
      <c r="Q59"/>
    </row>
    <row r="60" spans="1:17" x14ac:dyDescent="0.25">
      <c r="A60" s="44" t="s">
        <v>47</v>
      </c>
      <c r="B60" s="44" t="s">
        <v>14</v>
      </c>
      <c r="C60" s="46">
        <v>36.25</v>
      </c>
      <c r="D60" s="34">
        <v>78324</v>
      </c>
      <c r="E60" s="34">
        <v>78324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1.0029999999999999</v>
      </c>
      <c r="H60" s="39">
        <f>Table132[[#This Row],[New position]]*Table132[[#This Row],[Last_Price]]</f>
        <v>2839245</v>
      </c>
      <c r="I60" s="53"/>
      <c r="J60" s="96"/>
      <c r="K60" s="94"/>
      <c r="L60"/>
      <c r="M60"/>
      <c r="N60"/>
      <c r="O60"/>
      <c r="P60"/>
      <c r="Q60"/>
    </row>
    <row r="61" spans="1:17" x14ac:dyDescent="0.25">
      <c r="A61" s="44" t="s">
        <v>92</v>
      </c>
      <c r="B61" s="44" t="s">
        <v>14</v>
      </c>
      <c r="C61" s="46">
        <v>17.3</v>
      </c>
      <c r="D61" s="34">
        <v>115300</v>
      </c>
      <c r="E61" s="34">
        <v>115300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0.70399999999999996</v>
      </c>
      <c r="H61" s="39">
        <f>Table132[[#This Row],[New position]]*Table132[[#This Row],[Last_Price]]</f>
        <v>1994690</v>
      </c>
      <c r="I61" s="53"/>
      <c r="J61" s="94"/>
      <c r="K61" s="94"/>
      <c r="L61"/>
      <c r="M61"/>
      <c r="N61"/>
      <c r="O61"/>
      <c r="P61"/>
      <c r="Q61"/>
    </row>
    <row r="62" spans="1:17" x14ac:dyDescent="0.25">
      <c r="A62" s="44" t="s">
        <v>61</v>
      </c>
      <c r="B62" s="44" t="s">
        <v>14</v>
      </c>
      <c r="C62" s="46">
        <v>47.11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0.35</v>
      </c>
      <c r="H62" s="39">
        <f>Table132[[#This Row],[New position]]*Table132[[#This Row],[Last_Price]]</f>
        <v>989922.42999999993</v>
      </c>
      <c r="I62" s="53"/>
      <c r="J62" s="96"/>
      <c r="K62" s="94"/>
      <c r="L62"/>
      <c r="M62"/>
      <c r="N62"/>
      <c r="O62"/>
      <c r="P62"/>
      <c r="Q62"/>
    </row>
    <row r="63" spans="1:17" x14ac:dyDescent="0.25">
      <c r="A63" s="44" t="s">
        <v>43</v>
      </c>
      <c r="B63" s="44" t="s">
        <v>14</v>
      </c>
      <c r="C63" s="46">
        <v>214.7</v>
      </c>
      <c r="D63" s="34">
        <v>40781</v>
      </c>
      <c r="E63" s="34">
        <v>40781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3.0920000000000001</v>
      </c>
      <c r="H63" s="39">
        <f>Table132[[#This Row],[New position]]*Table132[[#This Row],[Last_Price]]</f>
        <v>8755680.6999999993</v>
      </c>
      <c r="I63" s="61"/>
      <c r="J63" s="96"/>
      <c r="K63" s="96"/>
      <c r="L63"/>
      <c r="M63"/>
      <c r="N63"/>
      <c r="O63"/>
      <c r="P63"/>
      <c r="Q63"/>
    </row>
    <row r="64" spans="1:17" x14ac:dyDescent="0.25">
      <c r="A64" s="44" t="s">
        <v>93</v>
      </c>
      <c r="B64" s="34" t="s">
        <v>14</v>
      </c>
      <c r="C64" s="46">
        <v>23.17</v>
      </c>
      <c r="D64" s="34">
        <v>43200</v>
      </c>
      <c r="E64" s="34">
        <v>43200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0.35299999999999998</v>
      </c>
      <c r="H64" s="39">
        <f>Table132[[#This Row],[New position]]*Table132[[#This Row],[Last_Price]]</f>
        <v>1000944.0000000001</v>
      </c>
      <c r="I64" s="107"/>
      <c r="J64" s="94"/>
      <c r="K64" s="94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8"/>
      <c r="K65" s="82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40</v>
      </c>
      <c r="F66" s="31"/>
      <c r="G66" s="55" t="s">
        <v>41</v>
      </c>
      <c r="H66" s="46"/>
      <c r="I66" s="48"/>
      <c r="J66" s="68"/>
      <c r="K66" s="82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5.5520000000000005</v>
      </c>
      <c r="F67" s="31"/>
      <c r="G67" s="34">
        <v>5.5519999999999996</v>
      </c>
      <c r="H67" s="46"/>
      <c r="I67" s="48"/>
      <c r="J67" s="100" t="s">
        <v>69</v>
      </c>
      <c r="K67" s="81" t="s">
        <v>70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3"/>
      <c r="J68" s="67" t="s">
        <v>71</v>
      </c>
      <c r="K68" s="103">
        <f>1-SUM(K69:K70)</f>
        <v>0.71636046431286515</v>
      </c>
      <c r="L68"/>
      <c r="M68"/>
      <c r="N68"/>
      <c r="O68"/>
      <c r="P68"/>
      <c r="Q68"/>
    </row>
    <row r="69" spans="1:17" ht="15" customHeight="1" x14ac:dyDescent="0.25">
      <c r="A69" s="44" t="s">
        <v>53</v>
      </c>
      <c r="B69" s="44"/>
      <c r="C69" s="45"/>
      <c r="D69" s="47" t="str">
        <f>Table132[[#This Row],[Symbol]]</f>
        <v>Healthcare</v>
      </c>
      <c r="E69" s="34">
        <f>ROUND(SUM(G28:G28)/100, 3)</f>
        <v>2.3E-2</v>
      </c>
      <c r="F69" s="47" t="str">
        <f>Table132[[#This Row],[Symbol]]</f>
        <v>Healthcare</v>
      </c>
      <c r="G69" s="34">
        <f>SUM(H28:H28)/(G67*C24)</f>
        <v>2.3489634811675934E-2</v>
      </c>
      <c r="H69" s="46"/>
      <c r="I69" s="93"/>
      <c r="J69" s="67" t="s">
        <v>72</v>
      </c>
      <c r="K69" s="101">
        <f>SUM(H36:H53)/C25</f>
        <v>0.23575483459200028</v>
      </c>
      <c r="L69"/>
      <c r="M69"/>
      <c r="N69"/>
      <c r="O69"/>
      <c r="P69"/>
      <c r="Q69"/>
    </row>
    <row r="70" spans="1:17" ht="15" customHeight="1" x14ac:dyDescent="0.25">
      <c r="A70" s="44" t="s">
        <v>90</v>
      </c>
      <c r="B70" s="44"/>
      <c r="C70" s="45"/>
      <c r="D70" s="47" t="str">
        <f>Table132[[#This Row],[Symbol]]</f>
        <v>Energy</v>
      </c>
      <c r="E70" s="34">
        <f>ROUND(SUM(G29:G29)/100, 3)</f>
        <v>3.2000000000000001E-2</v>
      </c>
      <c r="F70" s="47" t="str">
        <f>Table132[[#This Row],[Symbol]]</f>
        <v>Energy</v>
      </c>
      <c r="G70" s="34">
        <f>SUM(H29:H29)/(G67*C24)</f>
        <v>3.2291148176790116E-2</v>
      </c>
      <c r="H70" s="46"/>
      <c r="I70" s="106"/>
      <c r="J70" s="67" t="s">
        <v>73</v>
      </c>
      <c r="K70" s="102">
        <f>(H63+H64+H55+H56)/C25</f>
        <v>4.7884701095134527E-2</v>
      </c>
      <c r="L70"/>
      <c r="M70"/>
      <c r="N70"/>
      <c r="O70"/>
      <c r="P70"/>
      <c r="Q70"/>
    </row>
    <row r="71" spans="1:17" ht="15" customHeight="1" x14ac:dyDescent="0.25">
      <c r="A71" s="44" t="s">
        <v>84</v>
      </c>
      <c r="B71" s="44"/>
      <c r="C71" s="45"/>
      <c r="D71" s="47" t="str">
        <f>Table132[[#This Row],[Symbol]]</f>
        <v>Financials</v>
      </c>
      <c r="E71" s="34">
        <f>ROUND(SUM(G30:G30)/100, 3)</f>
        <v>5.8999999999999997E-2</v>
      </c>
      <c r="F71" s="47" t="str">
        <f>Table132[[#This Row],[Symbol]]</f>
        <v>Financials</v>
      </c>
      <c r="G71" s="51">
        <f>SUM(H30:H30)/(G67*C24)</f>
        <v>5.9002109103791389E-2</v>
      </c>
      <c r="H71" s="46"/>
      <c r="I71" s="93"/>
      <c r="J71" s="67"/>
      <c r="K71" s="101"/>
      <c r="L71"/>
      <c r="M71"/>
      <c r="N71"/>
      <c r="O71"/>
      <c r="P71"/>
      <c r="Q71"/>
    </row>
    <row r="72" spans="1:17" ht="15" customHeight="1" x14ac:dyDescent="0.25">
      <c r="A72" s="44" t="s">
        <v>85</v>
      </c>
      <c r="B72" s="44"/>
      <c r="C72" s="45"/>
      <c r="D72" s="47" t="str">
        <f>Table132[[#This Row],[Symbol]]</f>
        <v>Techs</v>
      </c>
      <c r="E72" s="51">
        <f>ROUND(SUM(G31:G31)/100, 3)</f>
        <v>5.8000000000000003E-2</v>
      </c>
      <c r="F72" s="47" t="str">
        <f>Table132[[#This Row],[Symbol]]</f>
        <v>Techs</v>
      </c>
      <c r="G72" s="34">
        <f>SUM(H31:H31)/(G67*C24)</f>
        <v>5.8469336413840924E-2</v>
      </c>
      <c r="H72" s="46"/>
      <c r="I72" s="105"/>
      <c r="K72" s="83"/>
      <c r="L72"/>
      <c r="M72"/>
      <c r="N72"/>
      <c r="O72"/>
      <c r="P72"/>
      <c r="Q72"/>
    </row>
    <row r="73" spans="1:17" ht="15" customHeight="1" x14ac:dyDescent="0.25">
      <c r="A73" s="44" t="s">
        <v>49</v>
      </c>
      <c r="B73" s="44"/>
      <c r="C73" s="45"/>
      <c r="D73" s="47" t="str">
        <f>Table132[[#This Row],[Symbol]]</f>
        <v>Semiconductor</v>
      </c>
      <c r="E73" s="34">
        <f>ROUND(SUM(G32:G33)/100, 3)</f>
        <v>0.19400000000000001</v>
      </c>
      <c r="F73" s="47" t="str">
        <f>Table132[[#This Row],[Symbol]]</f>
        <v>Semiconductor</v>
      </c>
      <c r="G73" s="51">
        <f>SUM(H32:H33)/(G67*C24)</f>
        <v>0.1935613584490396</v>
      </c>
      <c r="H73" s="46"/>
      <c r="I73" s="93"/>
      <c r="J73" s="69"/>
      <c r="K73" s="83"/>
      <c r="L73"/>
      <c r="M73"/>
      <c r="N73"/>
      <c r="O73"/>
      <c r="P73"/>
      <c r="Q73"/>
    </row>
    <row r="74" spans="1:17" ht="15.75" customHeight="1" x14ac:dyDescent="0.25">
      <c r="A74" s="44" t="s">
        <v>88</v>
      </c>
      <c r="B74" s="44"/>
      <c r="C74" s="45"/>
      <c r="D74" s="47" t="str">
        <f>Table132[[#This Row],[Symbol]]</f>
        <v>Russell</v>
      </c>
      <c r="E74" s="51">
        <f>ROUND(SUM(G34:G35)/100, 3)</f>
        <v>9.4E-2</v>
      </c>
      <c r="F74" s="47" t="str">
        <f>Table132[[#This Row],[Symbol]]</f>
        <v>Russell</v>
      </c>
      <c r="G74" s="51">
        <f>SUM(H34:H35)/(G67*C24)</f>
        <v>9.407264544373041E-2</v>
      </c>
      <c r="H74" s="46"/>
      <c r="I74" s="93"/>
      <c r="J74" s="69"/>
      <c r="K74" s="83"/>
      <c r="L74"/>
      <c r="M74"/>
      <c r="N74"/>
      <c r="O74"/>
      <c r="P74"/>
      <c r="Q74"/>
    </row>
    <row r="75" spans="1:17" ht="15.75" customHeight="1" x14ac:dyDescent="0.25">
      <c r="A75" s="44" t="s">
        <v>44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3"/>
      <c r="J75" s="69"/>
      <c r="K75" s="83"/>
      <c r="L75"/>
      <c r="M75"/>
      <c r="N75"/>
      <c r="O75"/>
      <c r="P75"/>
      <c r="Q75"/>
    </row>
    <row r="76" spans="1:17" ht="15.75" customHeight="1" x14ac:dyDescent="0.25">
      <c r="A76" s="44" t="s">
        <v>45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69"/>
      <c r="K76" s="83"/>
      <c r="L76"/>
      <c r="M76"/>
      <c r="N76"/>
      <c r="O76"/>
      <c r="P76"/>
      <c r="Q76"/>
    </row>
    <row r="77" spans="1:17" ht="14.25" customHeight="1" x14ac:dyDescent="0.25">
      <c r="A77" s="44" t="s">
        <v>48</v>
      </c>
      <c r="B77" s="44"/>
      <c r="C77" s="45"/>
      <c r="D77" s="47" t="str">
        <f>Table132[[#This Row],[Symbol]]</f>
        <v>Int Stocks</v>
      </c>
      <c r="E77" s="34">
        <f>ROUND(SUM(G36:G52)/100, 3)</f>
        <v>0.186</v>
      </c>
      <c r="F77" s="47" t="str">
        <f>Table132[[#This Row],[Symbol]]</f>
        <v>Int Stocks</v>
      </c>
      <c r="G77" s="34">
        <f>SUM(H36:H52)/(G67*C24)</f>
        <v>0.18598924981320664</v>
      </c>
      <c r="H77" s="46"/>
      <c r="I77" s="46"/>
      <c r="J77" s="71"/>
      <c r="K77" s="85"/>
      <c r="L77"/>
      <c r="M77"/>
      <c r="N77"/>
      <c r="O77"/>
      <c r="P77"/>
      <c r="Q77"/>
    </row>
    <row r="78" spans="1:17" ht="14.25" customHeight="1" x14ac:dyDescent="0.25">
      <c r="A78" s="44" t="s">
        <v>59</v>
      </c>
      <c r="B78" s="44"/>
      <c r="C78" s="45"/>
      <c r="D78" s="47" t="str">
        <f>Table132[[#This Row],[Symbol]]</f>
        <v>JP Stocks</v>
      </c>
      <c r="E78" s="34">
        <f>ROUND(SUM(G53:G53)/100, 3)</f>
        <v>0.02</v>
      </c>
      <c r="F78" s="47" t="str">
        <f>Table132[[#This Row],[Symbol]]</f>
        <v>JP Stocks</v>
      </c>
      <c r="G78" s="34">
        <f>SUM(H53:H53)/(G67*C24)</f>
        <v>1.9575832168196208E-2</v>
      </c>
      <c r="H78" s="46"/>
      <c r="I78" s="62"/>
      <c r="J78" s="67"/>
      <c r="K78" s="81"/>
      <c r="L78"/>
      <c r="M78"/>
      <c r="N78"/>
      <c r="O78"/>
      <c r="P78"/>
      <c r="Q78"/>
    </row>
    <row r="79" spans="1:17" ht="15.75" customHeight="1" x14ac:dyDescent="0.25">
      <c r="A79" s="44" t="s">
        <v>67</v>
      </c>
      <c r="B79" s="44"/>
      <c r="C79" s="45"/>
      <c r="D79" s="47" t="str">
        <f>Table132[[#This Row],[Symbol]]</f>
        <v>Nasdaq</v>
      </c>
      <c r="E79" s="51">
        <f>ROUND(SUM(G54)/100, 3)</f>
        <v>0.113</v>
      </c>
      <c r="F79" s="47" t="str">
        <f>Table132[[#This Row],[Symbol]]</f>
        <v>Nasdaq</v>
      </c>
      <c r="G79" s="34">
        <f>SUM(H54)/(G67*C24)</f>
        <v>0.1131922329018703</v>
      </c>
      <c r="H79" s="46"/>
      <c r="I79" s="27"/>
      <c r="J79" s="67"/>
      <c r="K79" s="81"/>
      <c r="L79"/>
      <c r="M79"/>
      <c r="N79"/>
      <c r="O79"/>
      <c r="P79"/>
      <c r="Q79"/>
    </row>
    <row r="80" spans="1:17" ht="15.75" customHeight="1" x14ac:dyDescent="0.25">
      <c r="A80" s="58" t="s">
        <v>50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51">
        <f>SUM(0)/(G67*C24)</f>
        <v>0</v>
      </c>
      <c r="H80" s="46"/>
      <c r="I80" s="27"/>
      <c r="J80" s="70"/>
      <c r="K80" s="84"/>
      <c r="L80"/>
      <c r="M80"/>
      <c r="N80"/>
      <c r="O80"/>
      <c r="P80"/>
      <c r="Q80"/>
    </row>
    <row r="81" spans="1:17" ht="15.75" customHeight="1" x14ac:dyDescent="0.25">
      <c r="A81" s="44" t="s">
        <v>51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34">
        <f>SUM(0)/(G67*C24)</f>
        <v>0</v>
      </c>
      <c r="H81" s="46"/>
      <c r="I81" s="59"/>
      <c r="J81" s="67"/>
      <c r="K81" s="81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ROUND((SUM(G57:G62))/100, 3)</f>
        <v>5.0999999999999997E-2</v>
      </c>
      <c r="F82" s="47" t="str">
        <f>Table132[[#This Row],[Symbol]]</f>
        <v>Bonds</v>
      </c>
      <c r="G82" s="34">
        <f>(SUM(H57:H62))/(G67*C24)</f>
        <v>5.0547951500245686E-2</v>
      </c>
      <c r="H82" s="46"/>
      <c r="I82" s="27"/>
      <c r="J82" s="72"/>
      <c r="K82" s="86"/>
      <c r="L82"/>
      <c r="M82"/>
      <c r="N82"/>
      <c r="O82"/>
      <c r="P82"/>
      <c r="Q82"/>
    </row>
    <row r="83" spans="1:17" ht="14.25" customHeight="1" x14ac:dyDescent="0.25">
      <c r="A83" s="44" t="s">
        <v>55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3"/>
      <c r="K83" s="80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ROUND(SUM(G63:G64)/100,3)</f>
        <v>3.4000000000000002E-2</v>
      </c>
      <c r="F84" s="47" t="str">
        <f>Table132[[#This Row],[Symbol]]</f>
        <v>Gold</v>
      </c>
      <c r="G84" s="34">
        <f>SUM(H63:H64)/(G67*C24)</f>
        <v>3.4456833770045103E-2</v>
      </c>
      <c r="H84" s="34"/>
      <c r="I84" s="28"/>
      <c r="J84" s="74"/>
      <c r="K84" s="87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ROUND(SUM(G55:G56)/100,3)</f>
        <v>7.0000000000000001E-3</v>
      </c>
      <c r="F85" s="47" t="str">
        <f>Table132[[#This Row],[Symbol]]</f>
        <v>Commodities</v>
      </c>
      <c r="G85" s="51">
        <f>SUM(H55:H56)/(G67*C24)</f>
        <v>7.2959579523873474E-3</v>
      </c>
      <c r="H85" s="34"/>
      <c r="I85" s="29"/>
      <c r="J85" s="75"/>
      <c r="K85" s="88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34">
        <f>SUM(0)/(G67*C24)</f>
        <v>0</v>
      </c>
      <c r="H86" s="46"/>
      <c r="I86" s="50"/>
      <c r="J86" s="67"/>
      <c r="K86" s="81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0.129</v>
      </c>
      <c r="F87" s="47" t="str">
        <f>Table132[[#This Row],[Symbol]]</f>
        <v>Cash</v>
      </c>
      <c r="G87" s="51">
        <f>1-SUM(G68:G86)</f>
        <v>0.1280557094951803</v>
      </c>
      <c r="H87" s="34"/>
      <c r="I87" s="27"/>
      <c r="J87" s="76"/>
      <c r="K87" s="89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6579069.6600000001</v>
      </c>
      <c r="F88" s="31"/>
      <c r="G88" s="39">
        <f>C24*G87</f>
        <v>6530910.334337323</v>
      </c>
      <c r="H88" s="39"/>
      <c r="I88" s="30"/>
      <c r="J88" s="67"/>
      <c r="K88" s="81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7"/>
      <c r="K89" s="81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7"/>
      <c r="K90" s="81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7"/>
      <c r="K91" s="90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2024-05-08T00:48:23Z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